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Default Extension="wmf" ContentType="image/x-wmf"/>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sharedStrings.xml" ContentType="application/vnd.openxmlformats-officedocument.spreadsheetml.sharedStrings+xml"/>
  <Override PartName="/xl/worksheets/sheet18.xml" ContentType="application/vnd.openxmlformats-officedocument.spreadsheetml.worksheet+xml"/>
  <Default Extension="bin" ContentType="application/vnd.openxmlformats-officedocument.spreadsheetml.printerSettings"/>
  <Default Extension="png" ContentType="image/png"/>
  <Override PartName="/xl/worksheets/sheet16.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810" yWindow="-165" windowWidth="22845" windowHeight="11475" tabRatio="901"/>
  </bookViews>
  <sheets>
    <sheet name="1 Cover" sheetId="2" r:id="rId1"/>
    <sheet name="2 Table of Contents" sheetId="4" r:id="rId2"/>
    <sheet name="1 Financial Highlights" sheetId="1" r:id="rId3"/>
    <sheet name="2 Consolidated IS" sheetId="8" r:id="rId4"/>
    <sheet name="3 Canaccord Genuity " sheetId="42" r:id="rId5"/>
    <sheet name="4 Capital Markets North America" sheetId="43" state="hidden" r:id="rId6"/>
    <sheet name="4 Capital Markets Canada" sheetId="36" r:id="rId7"/>
    <sheet name="5 CG - US" sheetId="38" r:id="rId8"/>
    <sheet name="6 CG - UK" sheetId="37" r:id="rId9"/>
    <sheet name="7 CG Other Foreign Loc" sheetId="34" r:id="rId10"/>
    <sheet name="8 CWM Canada" sheetId="40" r:id="rId11"/>
    <sheet name="9 CWM UK and Europe" sheetId="35" r:id="rId12"/>
    <sheet name="CWM BGF" sheetId="39" state="hidden" r:id="rId13"/>
    <sheet name="10 Other" sheetId="12" r:id="rId14"/>
    <sheet name="11 Balance Sheet" sheetId="16" r:id="rId15"/>
    <sheet name="7 Canada" sheetId="13" state="hidden" r:id="rId16"/>
    <sheet name="8 UK and Europe" sheetId="33" state="hidden" r:id="rId17"/>
    <sheet name="9 US" sheetId="15" state="hidden" r:id="rId18"/>
    <sheet name="12 Misc Operating Stats" sheetId="17" r:id="rId19"/>
    <sheet name="13 Notes" sheetId="6" r:id="rId20"/>
    <sheet name="NHI" sheetId="26" state="hidden" r:id="rId21"/>
  </sheets>
  <externalReferences>
    <externalReference r:id="rId22"/>
  </externalReferences>
  <definedNames>
    <definedName name="\B" localSheetId="4">#REF!</definedName>
    <definedName name="\B" localSheetId="6">#REF!</definedName>
    <definedName name="\B" localSheetId="5">#REF!</definedName>
    <definedName name="\B" localSheetId="7">#REF!</definedName>
    <definedName name="\B" localSheetId="8">#REF!</definedName>
    <definedName name="\B" localSheetId="9">#REF!</definedName>
    <definedName name="\B" localSheetId="10">#REF!</definedName>
    <definedName name="\B" localSheetId="16">#REF!</definedName>
    <definedName name="\B" localSheetId="11">#REF!</definedName>
    <definedName name="\B" localSheetId="12">#REF!</definedName>
    <definedName name="\B">#REF!</definedName>
    <definedName name="\G" localSheetId="4">#REF!</definedName>
    <definedName name="\G" localSheetId="5">#REF!</definedName>
    <definedName name="\G" localSheetId="7">#REF!</definedName>
    <definedName name="\G" localSheetId="8">#REF!</definedName>
    <definedName name="\G" localSheetId="9">#REF!</definedName>
    <definedName name="\G" localSheetId="10">#REF!</definedName>
    <definedName name="\G" localSheetId="11">#REF!</definedName>
    <definedName name="\G" localSheetId="12">#REF!</definedName>
    <definedName name="\G">#REF!</definedName>
    <definedName name="\S" localSheetId="4">#REF!</definedName>
    <definedName name="\S" localSheetId="5">#REF!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#REF!</definedName>
    <definedName name="_2_OR" localSheetId="4">#REF!</definedName>
    <definedName name="_2_OR" localSheetId="5">#REF!</definedName>
    <definedName name="_2_OR" localSheetId="7">#REF!</definedName>
    <definedName name="_2_OR" localSheetId="8">#REF!</definedName>
    <definedName name="_2_OR" localSheetId="9">#REF!</definedName>
    <definedName name="_2_OR" localSheetId="10">#REF!</definedName>
    <definedName name="_2_OR" localSheetId="11">#REF!</definedName>
    <definedName name="_2_OR" localSheetId="12">#REF!</definedName>
    <definedName name="_2_OR">#REF!</definedName>
    <definedName name="_APR95" localSheetId="4">#REF!</definedName>
    <definedName name="_APR95" localSheetId="5">#REF!</definedName>
    <definedName name="_APR95" localSheetId="7">#REF!</definedName>
    <definedName name="_APR95" localSheetId="8">#REF!</definedName>
    <definedName name="_APR95" localSheetId="9">#REF!</definedName>
    <definedName name="_APR95" localSheetId="10">#REF!</definedName>
    <definedName name="_APR95" localSheetId="11">#REF!</definedName>
    <definedName name="_APR95" localSheetId="12">#REF!</definedName>
    <definedName name="_APR95">#REF!</definedName>
    <definedName name="_APR96" localSheetId="4">#REF!</definedName>
    <definedName name="_APR96" localSheetId="5">#REF!</definedName>
    <definedName name="_APR96" localSheetId="7">#REF!</definedName>
    <definedName name="_APR96" localSheetId="8">#REF!</definedName>
    <definedName name="_APR96" localSheetId="9">#REF!</definedName>
    <definedName name="_APR96" localSheetId="10">#REF!</definedName>
    <definedName name="_APR96" localSheetId="11">#REF!</definedName>
    <definedName name="_APR96" localSheetId="12">#REF!</definedName>
    <definedName name="_APR96">#REF!</definedName>
    <definedName name="_APR97" localSheetId="4">#REF!</definedName>
    <definedName name="_APR97" localSheetId="5">#REF!</definedName>
    <definedName name="_APR97" localSheetId="7">#REF!</definedName>
    <definedName name="_APR97" localSheetId="8">#REF!</definedName>
    <definedName name="_APR97" localSheetId="9">#REF!</definedName>
    <definedName name="_APR97" localSheetId="10">#REF!</definedName>
    <definedName name="_APR97" localSheetId="11">#REF!</definedName>
    <definedName name="_APR97" localSheetId="12">#REF!</definedName>
    <definedName name="_APR97">#REF!</definedName>
    <definedName name="_AUG94" localSheetId="4">#REF!</definedName>
    <definedName name="_AUG94" localSheetId="5">#REF!</definedName>
    <definedName name="_AUG94" localSheetId="7">#REF!</definedName>
    <definedName name="_AUG94" localSheetId="8">#REF!</definedName>
    <definedName name="_AUG94" localSheetId="9">#REF!</definedName>
    <definedName name="_AUG94" localSheetId="10">#REF!</definedName>
    <definedName name="_AUG94" localSheetId="11">#REF!</definedName>
    <definedName name="_AUG94" localSheetId="12">#REF!</definedName>
    <definedName name="_AUG94">#REF!</definedName>
    <definedName name="_AUG95" localSheetId="4">#REF!</definedName>
    <definedName name="_AUG95" localSheetId="5">#REF!</definedName>
    <definedName name="_AUG95" localSheetId="7">#REF!</definedName>
    <definedName name="_AUG95" localSheetId="8">#REF!</definedName>
    <definedName name="_AUG95" localSheetId="9">#REF!</definedName>
    <definedName name="_AUG95" localSheetId="10">#REF!</definedName>
    <definedName name="_AUG95" localSheetId="11">#REF!</definedName>
    <definedName name="_AUG95" localSheetId="12">#REF!</definedName>
    <definedName name="_AUG95">#REF!</definedName>
    <definedName name="_AUG96" localSheetId="4">#REF!</definedName>
    <definedName name="_AUG96" localSheetId="5">#REF!</definedName>
    <definedName name="_AUG96" localSheetId="7">#REF!</definedName>
    <definedName name="_AUG96" localSheetId="8">#REF!</definedName>
    <definedName name="_AUG96" localSheetId="9">#REF!</definedName>
    <definedName name="_AUG96" localSheetId="10">#REF!</definedName>
    <definedName name="_AUG96" localSheetId="11">#REF!</definedName>
    <definedName name="_AUG96" localSheetId="12">#REF!</definedName>
    <definedName name="_AUG96">#REF!</definedName>
    <definedName name="_AUG97" localSheetId="4">#REF!</definedName>
    <definedName name="_AUG97" localSheetId="5">#REF!</definedName>
    <definedName name="_AUG97" localSheetId="7">#REF!</definedName>
    <definedName name="_AUG97" localSheetId="8">#REF!</definedName>
    <definedName name="_AUG97" localSheetId="9">#REF!</definedName>
    <definedName name="_AUG97" localSheetId="10">#REF!</definedName>
    <definedName name="_AUG97" localSheetId="11">#REF!</definedName>
    <definedName name="_AUG97" localSheetId="12">#REF!</definedName>
    <definedName name="_AUG97">#REF!</definedName>
    <definedName name="_DEC94" localSheetId="4">#REF!</definedName>
    <definedName name="_DEC94" localSheetId="5">#REF!</definedName>
    <definedName name="_DEC94" localSheetId="7">#REF!</definedName>
    <definedName name="_DEC94" localSheetId="8">#REF!</definedName>
    <definedName name="_DEC94" localSheetId="9">#REF!</definedName>
    <definedName name="_DEC94" localSheetId="10">#REF!</definedName>
    <definedName name="_DEC94" localSheetId="11">#REF!</definedName>
    <definedName name="_DEC94" localSheetId="12">#REF!</definedName>
    <definedName name="_DEC94">#REF!</definedName>
    <definedName name="_DEC95" localSheetId="4">#REF!</definedName>
    <definedName name="_DEC95" localSheetId="5">#REF!</definedName>
    <definedName name="_DEC95" localSheetId="7">#REF!</definedName>
    <definedName name="_DEC95" localSheetId="8">#REF!</definedName>
    <definedName name="_DEC95" localSheetId="9">#REF!</definedName>
    <definedName name="_DEC95" localSheetId="10">#REF!</definedName>
    <definedName name="_DEC95" localSheetId="11">#REF!</definedName>
    <definedName name="_DEC95" localSheetId="12">#REF!</definedName>
    <definedName name="_DEC95">#REF!</definedName>
    <definedName name="_DEC96" localSheetId="4">#REF!</definedName>
    <definedName name="_DEC96" localSheetId="5">#REF!</definedName>
    <definedName name="_DEC96" localSheetId="7">#REF!</definedName>
    <definedName name="_DEC96" localSheetId="8">#REF!</definedName>
    <definedName name="_DEC96" localSheetId="9">#REF!</definedName>
    <definedName name="_DEC96" localSheetId="10">#REF!</definedName>
    <definedName name="_DEC96" localSheetId="11">#REF!</definedName>
    <definedName name="_DEC96" localSheetId="12">#REF!</definedName>
    <definedName name="_DEC96">#REF!</definedName>
    <definedName name="_FEB95" localSheetId="4">#REF!</definedName>
    <definedName name="_FEB95" localSheetId="5">#REF!</definedName>
    <definedName name="_FEB95" localSheetId="7">#REF!</definedName>
    <definedName name="_FEB95" localSheetId="8">#REF!</definedName>
    <definedName name="_FEB95" localSheetId="9">#REF!</definedName>
    <definedName name="_FEB95" localSheetId="10">#REF!</definedName>
    <definedName name="_FEB95" localSheetId="11">#REF!</definedName>
    <definedName name="_FEB95" localSheetId="12">#REF!</definedName>
    <definedName name="_FEB95">#REF!</definedName>
    <definedName name="_FEB96" localSheetId="4">#REF!</definedName>
    <definedName name="_FEB96" localSheetId="5">#REF!</definedName>
    <definedName name="_FEB96" localSheetId="7">#REF!</definedName>
    <definedName name="_FEB96" localSheetId="8">#REF!</definedName>
    <definedName name="_FEB96" localSheetId="9">#REF!</definedName>
    <definedName name="_FEB96" localSheetId="10">#REF!</definedName>
    <definedName name="_FEB96" localSheetId="11">#REF!</definedName>
    <definedName name="_FEB96" localSheetId="12">#REF!</definedName>
    <definedName name="_FEB96">#REF!</definedName>
    <definedName name="_FEB97" localSheetId="4">#REF!</definedName>
    <definedName name="_FEB97" localSheetId="5">#REF!</definedName>
    <definedName name="_FEB97" localSheetId="7">#REF!</definedName>
    <definedName name="_FEB97" localSheetId="8">#REF!</definedName>
    <definedName name="_FEB97" localSheetId="9">#REF!</definedName>
    <definedName name="_FEB97" localSheetId="10">#REF!</definedName>
    <definedName name="_FEB97" localSheetId="11">#REF!</definedName>
    <definedName name="_FEB97" localSheetId="12">#REF!</definedName>
    <definedName name="_FEB97">#REF!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JAN95" localSheetId="4">#REF!</definedName>
    <definedName name="_JAN95" localSheetId="5">#REF!</definedName>
    <definedName name="_JAN95" localSheetId="7">#REF!</definedName>
    <definedName name="_JAN95" localSheetId="8">#REF!</definedName>
    <definedName name="_JAN95" localSheetId="9">#REF!</definedName>
    <definedName name="_JAN95" localSheetId="10">#REF!</definedName>
    <definedName name="_JAN95" localSheetId="11">#REF!</definedName>
    <definedName name="_JAN95" localSheetId="12">#REF!</definedName>
    <definedName name="_JAN95">#REF!</definedName>
    <definedName name="_JAN96" localSheetId="4">#REF!</definedName>
    <definedName name="_JAN96" localSheetId="5">#REF!</definedName>
    <definedName name="_JAN96" localSheetId="7">#REF!</definedName>
    <definedName name="_JAN96" localSheetId="8">#REF!</definedName>
    <definedName name="_JAN96" localSheetId="9">#REF!</definedName>
    <definedName name="_JAN96" localSheetId="10">#REF!</definedName>
    <definedName name="_JAN96" localSheetId="11">#REF!</definedName>
    <definedName name="_JAN96" localSheetId="12">#REF!</definedName>
    <definedName name="_JAN96">#REF!</definedName>
    <definedName name="_JAN97" localSheetId="4">#REF!</definedName>
    <definedName name="_JAN97" localSheetId="5">#REF!</definedName>
    <definedName name="_JAN97" localSheetId="7">#REF!</definedName>
    <definedName name="_JAN97" localSheetId="8">#REF!</definedName>
    <definedName name="_JAN97" localSheetId="9">#REF!</definedName>
    <definedName name="_JAN97" localSheetId="10">#REF!</definedName>
    <definedName name="_JAN97" localSheetId="11">#REF!</definedName>
    <definedName name="_JAN97" localSheetId="12">#REF!</definedName>
    <definedName name="_JAN97">#REF!</definedName>
    <definedName name="_JUL94" localSheetId="4">#REF!</definedName>
    <definedName name="_JUL94" localSheetId="5">#REF!</definedName>
    <definedName name="_JUL94" localSheetId="7">#REF!</definedName>
    <definedName name="_JUL94" localSheetId="8">#REF!</definedName>
    <definedName name="_JUL94" localSheetId="9">#REF!</definedName>
    <definedName name="_JUL94" localSheetId="10">#REF!</definedName>
    <definedName name="_JUL94" localSheetId="11">#REF!</definedName>
    <definedName name="_JUL94" localSheetId="12">#REF!</definedName>
    <definedName name="_JUL94">#REF!</definedName>
    <definedName name="_JUL95" localSheetId="4">#REF!</definedName>
    <definedName name="_JUL95" localSheetId="5">#REF!</definedName>
    <definedName name="_JUL95" localSheetId="7">#REF!</definedName>
    <definedName name="_JUL95" localSheetId="8">#REF!</definedName>
    <definedName name="_JUL95" localSheetId="9">#REF!</definedName>
    <definedName name="_JUL95" localSheetId="10">#REF!</definedName>
    <definedName name="_JUL95" localSheetId="11">#REF!</definedName>
    <definedName name="_JUL95" localSheetId="12">#REF!</definedName>
    <definedName name="_JUL95">#REF!</definedName>
    <definedName name="_JUL96" localSheetId="4">#REF!</definedName>
    <definedName name="_JUL96" localSheetId="5">#REF!</definedName>
    <definedName name="_JUL96" localSheetId="7">#REF!</definedName>
    <definedName name="_JUL96" localSheetId="8">#REF!</definedName>
    <definedName name="_JUL96" localSheetId="9">#REF!</definedName>
    <definedName name="_JUL96" localSheetId="10">#REF!</definedName>
    <definedName name="_JUL96" localSheetId="11">#REF!</definedName>
    <definedName name="_JUL96" localSheetId="12">#REF!</definedName>
    <definedName name="_JUL96">#REF!</definedName>
    <definedName name="_JUL97" localSheetId="4">#REF!</definedName>
    <definedName name="_JUL97" localSheetId="5">#REF!</definedName>
    <definedName name="_JUL97" localSheetId="7">#REF!</definedName>
    <definedName name="_JUL97" localSheetId="8">#REF!</definedName>
    <definedName name="_JUL97" localSheetId="9">#REF!</definedName>
    <definedName name="_JUL97" localSheetId="10">#REF!</definedName>
    <definedName name="_JUL97" localSheetId="11">#REF!</definedName>
    <definedName name="_JUL97" localSheetId="12">#REF!</definedName>
    <definedName name="_JUL97">#REF!</definedName>
    <definedName name="_JUN94" localSheetId="4">#REF!</definedName>
    <definedName name="_JUN94" localSheetId="5">#REF!</definedName>
    <definedName name="_JUN94" localSheetId="7">#REF!</definedName>
    <definedName name="_JUN94" localSheetId="8">#REF!</definedName>
    <definedName name="_JUN94" localSheetId="9">#REF!</definedName>
    <definedName name="_JUN94" localSheetId="10">#REF!</definedName>
    <definedName name="_JUN94" localSheetId="11">#REF!</definedName>
    <definedName name="_JUN94" localSheetId="12">#REF!</definedName>
    <definedName name="_JUN94">#REF!</definedName>
    <definedName name="_JUN95" localSheetId="4">#REF!</definedName>
    <definedName name="_JUN95" localSheetId="5">#REF!</definedName>
    <definedName name="_JUN95" localSheetId="7">#REF!</definedName>
    <definedName name="_JUN95" localSheetId="8">#REF!</definedName>
    <definedName name="_JUN95" localSheetId="9">#REF!</definedName>
    <definedName name="_JUN95" localSheetId="10">#REF!</definedName>
    <definedName name="_JUN95" localSheetId="11">#REF!</definedName>
    <definedName name="_JUN95" localSheetId="12">#REF!</definedName>
    <definedName name="_JUN95">#REF!</definedName>
    <definedName name="_JUN96" localSheetId="4">#REF!</definedName>
    <definedName name="_JUN96" localSheetId="5">#REF!</definedName>
    <definedName name="_JUN96" localSheetId="7">#REF!</definedName>
    <definedName name="_JUN96" localSheetId="8">#REF!</definedName>
    <definedName name="_JUN96" localSheetId="9">#REF!</definedName>
    <definedName name="_JUN96" localSheetId="10">#REF!</definedName>
    <definedName name="_JUN96" localSheetId="11">#REF!</definedName>
    <definedName name="_JUN96" localSheetId="12">#REF!</definedName>
    <definedName name="_JUN96">#REF!</definedName>
    <definedName name="_JUN97" localSheetId="4">#REF!</definedName>
    <definedName name="_JUN97" localSheetId="5">#REF!</definedName>
    <definedName name="_JUN97" localSheetId="7">#REF!</definedName>
    <definedName name="_JUN97" localSheetId="8">#REF!</definedName>
    <definedName name="_JUN97" localSheetId="9">#REF!</definedName>
    <definedName name="_JUN97" localSheetId="10">#REF!</definedName>
    <definedName name="_JUN97" localSheetId="11">#REF!</definedName>
    <definedName name="_JUN97" localSheetId="12">#REF!</definedName>
    <definedName name="_JUN97">#REF!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Key2" localSheetId="4"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hidden="1">#REF!</definedName>
    <definedName name="_MAR95" localSheetId="4">#REF!</definedName>
    <definedName name="_MAR95" localSheetId="5">#REF!</definedName>
    <definedName name="_MAR95" localSheetId="7">#REF!</definedName>
    <definedName name="_MAR95" localSheetId="8">#REF!</definedName>
    <definedName name="_MAR95" localSheetId="9">#REF!</definedName>
    <definedName name="_MAR95" localSheetId="10">#REF!</definedName>
    <definedName name="_MAR95" localSheetId="11">#REF!</definedName>
    <definedName name="_MAR95" localSheetId="12">#REF!</definedName>
    <definedName name="_MAR95">#REF!</definedName>
    <definedName name="_MAR96" localSheetId="4">#REF!</definedName>
    <definedName name="_MAR96" localSheetId="5">#REF!</definedName>
    <definedName name="_MAR96" localSheetId="7">#REF!</definedName>
    <definedName name="_MAR96" localSheetId="8">#REF!</definedName>
    <definedName name="_MAR96" localSheetId="9">#REF!</definedName>
    <definedName name="_MAR96" localSheetId="10">#REF!</definedName>
    <definedName name="_MAR96" localSheetId="11">#REF!</definedName>
    <definedName name="_MAR96" localSheetId="12">#REF!</definedName>
    <definedName name="_MAR96">#REF!</definedName>
    <definedName name="_MAR97" localSheetId="4">#REF!</definedName>
    <definedName name="_MAR97" localSheetId="5">#REF!</definedName>
    <definedName name="_MAR97" localSheetId="7">#REF!</definedName>
    <definedName name="_MAR97" localSheetId="8">#REF!</definedName>
    <definedName name="_MAR97" localSheetId="9">#REF!</definedName>
    <definedName name="_MAR97" localSheetId="10">#REF!</definedName>
    <definedName name="_MAR97" localSheetId="11">#REF!</definedName>
    <definedName name="_MAR97" localSheetId="12">#REF!</definedName>
    <definedName name="_MAR97">#REF!</definedName>
    <definedName name="_MAY94" localSheetId="4">#REF!</definedName>
    <definedName name="_MAY94" localSheetId="5">#REF!</definedName>
    <definedName name="_MAY94" localSheetId="7">#REF!</definedName>
    <definedName name="_MAY94" localSheetId="8">#REF!</definedName>
    <definedName name="_MAY94" localSheetId="9">#REF!</definedName>
    <definedName name="_MAY94" localSheetId="10">#REF!</definedName>
    <definedName name="_MAY94" localSheetId="11">#REF!</definedName>
    <definedName name="_MAY94" localSheetId="12">#REF!</definedName>
    <definedName name="_MAY94">#REF!</definedName>
    <definedName name="_MAY95" localSheetId="4">#REF!</definedName>
    <definedName name="_MAY95" localSheetId="5">#REF!</definedName>
    <definedName name="_MAY95" localSheetId="7">#REF!</definedName>
    <definedName name="_MAY95" localSheetId="8">#REF!</definedName>
    <definedName name="_MAY95" localSheetId="9">#REF!</definedName>
    <definedName name="_MAY95" localSheetId="10">#REF!</definedName>
    <definedName name="_MAY95" localSheetId="11">#REF!</definedName>
    <definedName name="_MAY95" localSheetId="12">#REF!</definedName>
    <definedName name="_MAY95">#REF!</definedName>
    <definedName name="_MAY96" localSheetId="4">#REF!</definedName>
    <definedName name="_MAY96" localSheetId="5">#REF!</definedName>
    <definedName name="_MAY96" localSheetId="7">#REF!</definedName>
    <definedName name="_MAY96" localSheetId="8">#REF!</definedName>
    <definedName name="_MAY96" localSheetId="9">#REF!</definedName>
    <definedName name="_MAY96" localSheetId="10">#REF!</definedName>
    <definedName name="_MAY96" localSheetId="11">#REF!</definedName>
    <definedName name="_MAY96" localSheetId="12">#REF!</definedName>
    <definedName name="_MAY96">#REF!</definedName>
    <definedName name="_NCF2" localSheetId="4">#REF!</definedName>
    <definedName name="_NCF2" localSheetId="5">#REF!</definedName>
    <definedName name="_NCF2" localSheetId="7">#REF!</definedName>
    <definedName name="_NCF2" localSheetId="8">#REF!</definedName>
    <definedName name="_NCF2" localSheetId="9">#REF!</definedName>
    <definedName name="_NCF2" localSheetId="10">#REF!</definedName>
    <definedName name="_NCF2" localSheetId="11">#REF!</definedName>
    <definedName name="_NCF2" localSheetId="12">#REF!</definedName>
    <definedName name="_NCF2">#REF!</definedName>
    <definedName name="_NO94" localSheetId="4">#REF!</definedName>
    <definedName name="_NO94" localSheetId="5">#REF!</definedName>
    <definedName name="_NO94" localSheetId="7">#REF!</definedName>
    <definedName name="_NO94" localSheetId="8">#REF!</definedName>
    <definedName name="_NO94" localSheetId="9">#REF!</definedName>
    <definedName name="_NO94" localSheetId="10">#REF!</definedName>
    <definedName name="_NO94" localSheetId="11">#REF!</definedName>
    <definedName name="_NO94" localSheetId="12">#REF!</definedName>
    <definedName name="_NO94">#REF!</definedName>
    <definedName name="_NOV94" localSheetId="4">#REF!</definedName>
    <definedName name="_NOV94" localSheetId="5">#REF!</definedName>
    <definedName name="_NOV94" localSheetId="7">#REF!</definedName>
    <definedName name="_NOV94" localSheetId="8">#REF!</definedName>
    <definedName name="_NOV94" localSheetId="9">#REF!</definedName>
    <definedName name="_NOV94" localSheetId="10">#REF!</definedName>
    <definedName name="_NOV94" localSheetId="11">#REF!</definedName>
    <definedName name="_NOV94" localSheetId="12">#REF!</definedName>
    <definedName name="_NOV94">#REF!</definedName>
    <definedName name="_NOV95" localSheetId="4">#REF!</definedName>
    <definedName name="_NOV95" localSheetId="5">#REF!</definedName>
    <definedName name="_NOV95" localSheetId="7">#REF!</definedName>
    <definedName name="_NOV95" localSheetId="8">#REF!</definedName>
    <definedName name="_NOV95" localSheetId="9">#REF!</definedName>
    <definedName name="_NOV95" localSheetId="10">#REF!</definedName>
    <definedName name="_NOV95" localSheetId="11">#REF!</definedName>
    <definedName name="_NOV95" localSheetId="12">#REF!</definedName>
    <definedName name="_NOV95">#REF!</definedName>
    <definedName name="_NOV97" localSheetId="4">#REF!</definedName>
    <definedName name="_NOV97" localSheetId="5">#REF!</definedName>
    <definedName name="_NOV97" localSheetId="7">#REF!</definedName>
    <definedName name="_NOV97" localSheetId="8">#REF!</definedName>
    <definedName name="_NOV97" localSheetId="9">#REF!</definedName>
    <definedName name="_NOV97" localSheetId="10">#REF!</definedName>
    <definedName name="_NOV97" localSheetId="11">#REF!</definedName>
    <definedName name="_NOV97" localSheetId="12">#REF!</definedName>
    <definedName name="_NOV97">#REF!</definedName>
    <definedName name="_OCT94" localSheetId="4">#REF!</definedName>
    <definedName name="_OCT94" localSheetId="5">#REF!</definedName>
    <definedName name="_OCT94" localSheetId="7">#REF!</definedName>
    <definedName name="_OCT94" localSheetId="8">#REF!</definedName>
    <definedName name="_OCT94" localSheetId="9">#REF!</definedName>
    <definedName name="_OCT94" localSheetId="10">#REF!</definedName>
    <definedName name="_OCT94" localSheetId="11">#REF!</definedName>
    <definedName name="_OCT94" localSheetId="12">#REF!</definedName>
    <definedName name="_OCT94">#REF!</definedName>
    <definedName name="_OCT95" localSheetId="4">#REF!</definedName>
    <definedName name="_OCT95" localSheetId="5">#REF!</definedName>
    <definedName name="_OCT95" localSheetId="7">#REF!</definedName>
    <definedName name="_OCT95" localSheetId="8">#REF!</definedName>
    <definedName name="_OCT95" localSheetId="9">#REF!</definedName>
    <definedName name="_OCT95" localSheetId="10">#REF!</definedName>
    <definedName name="_OCT95" localSheetId="11">#REF!</definedName>
    <definedName name="_OCT95" localSheetId="12">#REF!</definedName>
    <definedName name="_OCT95">#REF!</definedName>
    <definedName name="_OCT97" localSheetId="4">#REF!</definedName>
    <definedName name="_OCT97" localSheetId="5">#REF!</definedName>
    <definedName name="_OCT97" localSheetId="7">#REF!</definedName>
    <definedName name="_OCT97" localSheetId="8">#REF!</definedName>
    <definedName name="_OCT97" localSheetId="9">#REF!</definedName>
    <definedName name="_OCT97" localSheetId="10">#REF!</definedName>
    <definedName name="_OCT97" localSheetId="11">#REF!</definedName>
    <definedName name="_OCT97" localSheetId="12">#REF!</definedName>
    <definedName name="_OCT97">#REF!</definedName>
    <definedName name="_Order1" hidden="1">0</definedName>
    <definedName name="_Order2" hidden="1">255</definedName>
    <definedName name="_SEP94" localSheetId="4">#REF!</definedName>
    <definedName name="_SEP94" localSheetId="5">#REF!</definedName>
    <definedName name="_SEP94" localSheetId="7">#REF!</definedName>
    <definedName name="_SEP94" localSheetId="8">#REF!</definedName>
    <definedName name="_SEP94" localSheetId="9">#REF!</definedName>
    <definedName name="_SEP94" localSheetId="10">#REF!</definedName>
    <definedName name="_SEP94" localSheetId="16">#REF!</definedName>
    <definedName name="_SEP94" localSheetId="11">#REF!</definedName>
    <definedName name="_SEP94" localSheetId="12">#REF!</definedName>
    <definedName name="_SEP94">#REF!</definedName>
    <definedName name="_SEP95" localSheetId="4">#REF!</definedName>
    <definedName name="_SEP95" localSheetId="5">#REF!</definedName>
    <definedName name="_SEP95" localSheetId="7">#REF!</definedName>
    <definedName name="_SEP95" localSheetId="8">#REF!</definedName>
    <definedName name="_SEP95" localSheetId="9">#REF!</definedName>
    <definedName name="_SEP95" localSheetId="10">#REF!</definedName>
    <definedName name="_SEP95" localSheetId="11">#REF!</definedName>
    <definedName name="_SEP95" localSheetId="12">#REF!</definedName>
    <definedName name="_SEP95">#REF!</definedName>
    <definedName name="_SEP97" localSheetId="4">#REF!</definedName>
    <definedName name="_SEP97" localSheetId="5">#REF!</definedName>
    <definedName name="_SEP97" localSheetId="7">#REF!</definedName>
    <definedName name="_SEP97" localSheetId="8">#REF!</definedName>
    <definedName name="_SEP97" localSheetId="9">#REF!</definedName>
    <definedName name="_SEP97" localSheetId="10">#REF!</definedName>
    <definedName name="_SEP97" localSheetId="11">#REF!</definedName>
    <definedName name="_SEP97" localSheetId="12">#REF!</definedName>
    <definedName name="_SEP97">#REF!</definedName>
    <definedName name="_Sort" localSheetId="4"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BD" localSheetId="4">#REF!</definedName>
    <definedName name="BD" localSheetId="5">#REF!</definedName>
    <definedName name="BD" localSheetId="7">#REF!</definedName>
    <definedName name="BD" localSheetId="8">#REF!</definedName>
    <definedName name="BD" localSheetId="9">#REF!</definedName>
    <definedName name="BD" localSheetId="10">#REF!</definedName>
    <definedName name="BD" localSheetId="11">#REF!</definedName>
    <definedName name="BD" localSheetId="12">#REF!</definedName>
    <definedName name="BD">#REF!</definedName>
    <definedName name="BDS" localSheetId="4">#REF!</definedName>
    <definedName name="BDS" localSheetId="5">#REF!</definedName>
    <definedName name="BDS" localSheetId="7">#REF!</definedName>
    <definedName name="BDS" localSheetId="8">#REF!</definedName>
    <definedName name="BDS" localSheetId="9">#REF!</definedName>
    <definedName name="BDS" localSheetId="10">#REF!</definedName>
    <definedName name="BDS" localSheetId="11">#REF!</definedName>
    <definedName name="BDS" localSheetId="12">#REF!</definedName>
    <definedName name="BDS">#REF!</definedName>
    <definedName name="BRPFT" localSheetId="4">#REF!</definedName>
    <definedName name="BRPFT" localSheetId="5">#REF!</definedName>
    <definedName name="BRPFT" localSheetId="7">#REF!</definedName>
    <definedName name="BRPFT" localSheetId="8">#REF!</definedName>
    <definedName name="BRPFT" localSheetId="9">#REF!</definedName>
    <definedName name="BRPFT" localSheetId="10">#REF!</definedName>
    <definedName name="BRPFT" localSheetId="11">#REF!</definedName>
    <definedName name="BRPFT" localSheetId="12">#REF!</definedName>
    <definedName name="BRPFT">#REF!</definedName>
    <definedName name="CALGARY" localSheetId="4">#REF!</definedName>
    <definedName name="CALGARY" localSheetId="5">#REF!</definedName>
    <definedName name="CALGARY" localSheetId="7">#REF!</definedName>
    <definedName name="CALGARY" localSheetId="8">#REF!</definedName>
    <definedName name="CALGARY" localSheetId="9">#REF!</definedName>
    <definedName name="CALGARY" localSheetId="10">#REF!</definedName>
    <definedName name="CALGARY" localSheetId="11">#REF!</definedName>
    <definedName name="CALGARY" localSheetId="12">#REF!</definedName>
    <definedName name="CALGARY">#REF!</definedName>
    <definedName name="cci_end_price_Q206" localSheetId="6">'[1]CCI Stock Prices'!$I$39</definedName>
    <definedName name="cci_end_price_Q206" localSheetId="5">'[1]CCI Stock Prices'!$I$39</definedName>
    <definedName name="cci_end_price_Q206" localSheetId="7">'[1]CCI Stock Prices'!$I$39</definedName>
    <definedName name="cci_end_price_Q206" localSheetId="8">'[1]CCI Stock Prices'!$I$39</definedName>
    <definedName name="cci_end_price_Q206" localSheetId="9">'[1]CCI Stock Prices'!$I$39</definedName>
    <definedName name="cci_end_price_Q206" localSheetId="16">'[1]CCI Stock Prices'!$I$39</definedName>
    <definedName name="cci_end_price_Q206">'[1]CCI Stock Prices'!$I$39</definedName>
    <definedName name="com" localSheetId="4">#REF!</definedName>
    <definedName name="com" localSheetId="5">#REF!</definedName>
    <definedName name="com" localSheetId="7">#REF!</definedName>
    <definedName name="com" localSheetId="8">#REF!</definedName>
    <definedName name="com" localSheetId="9">#REF!</definedName>
    <definedName name="com" localSheetId="10">#REF!</definedName>
    <definedName name="com" localSheetId="16">#REF!</definedName>
    <definedName name="com" localSheetId="11">#REF!</definedName>
    <definedName name="com" localSheetId="12">#REF!</definedName>
    <definedName name="com">#REF!</definedName>
    <definedName name="INCTAX" localSheetId="4">#REF!</definedName>
    <definedName name="INCTAX" localSheetId="5">#REF!</definedName>
    <definedName name="INCTAX" localSheetId="7">#REF!</definedName>
    <definedName name="INCTAX" localSheetId="8">#REF!</definedName>
    <definedName name="INCTAX" localSheetId="9">#REF!</definedName>
    <definedName name="INCTAX" localSheetId="10">#REF!</definedName>
    <definedName name="INCTAX" localSheetId="11">#REF!</definedName>
    <definedName name="INCTAX" localSheetId="12">#REF!</definedName>
    <definedName name="INCTAX">#REF!</definedName>
    <definedName name="NCF" localSheetId="4">#REF!</definedName>
    <definedName name="NCF" localSheetId="5">#REF!</definedName>
    <definedName name="NCF" localSheetId="7">#REF!</definedName>
    <definedName name="NCF" localSheetId="8">#REF!</definedName>
    <definedName name="NCF" localSheetId="9">#REF!</definedName>
    <definedName name="NCF" localSheetId="10">#REF!</definedName>
    <definedName name="NCF" localSheetId="11">#REF!</definedName>
    <definedName name="NCF" localSheetId="12">#REF!</definedName>
    <definedName name="NCF">#REF!</definedName>
    <definedName name="p" localSheetId="4">#REF!</definedName>
    <definedName name="p" localSheetId="5">#REF!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#REF!</definedName>
    <definedName name="PAGE_" localSheetId="4">#REF!</definedName>
    <definedName name="PAGE_" localSheetId="5">#REF!</definedName>
    <definedName name="PAGE_" localSheetId="7">#REF!</definedName>
    <definedName name="PAGE_" localSheetId="8">#REF!</definedName>
    <definedName name="PAGE_" localSheetId="9">#REF!</definedName>
    <definedName name="PAGE_" localSheetId="10">#REF!</definedName>
    <definedName name="PAGE_" localSheetId="11">#REF!</definedName>
    <definedName name="PAGE_" localSheetId="12">#REF!</definedName>
    <definedName name="PAGE_">#REF!</definedName>
    <definedName name="PAGE1" localSheetId="4">#REF!</definedName>
    <definedName name="PAGE1" localSheetId="5">#REF!</definedName>
    <definedName name="PAGE1" localSheetId="7">#REF!</definedName>
    <definedName name="PAGE1" localSheetId="8">#REF!</definedName>
    <definedName name="PAGE1" localSheetId="9">#REF!</definedName>
    <definedName name="PAGE1" localSheetId="10">#REF!</definedName>
    <definedName name="PAGE1" localSheetId="11">#REF!</definedName>
    <definedName name="PAGE1" localSheetId="12">#REF!</definedName>
    <definedName name="PAGE1">#REF!</definedName>
    <definedName name="PAGE2" localSheetId="4">#REF!</definedName>
    <definedName name="PAGE2" localSheetId="5">#REF!</definedName>
    <definedName name="PAGE2" localSheetId="7">#REF!</definedName>
    <definedName name="PAGE2" localSheetId="8">#REF!</definedName>
    <definedName name="PAGE2" localSheetId="9">#REF!</definedName>
    <definedName name="PAGE2" localSheetId="10">#REF!</definedName>
    <definedName name="PAGE2" localSheetId="11">#REF!</definedName>
    <definedName name="PAGE2" localSheetId="12">#REF!</definedName>
    <definedName name="PAGE2">#REF!</definedName>
    <definedName name="PAGE3" localSheetId="4">#REF!</definedName>
    <definedName name="PAGE3" localSheetId="5">#REF!</definedName>
    <definedName name="PAGE3" localSheetId="7">#REF!</definedName>
    <definedName name="PAGE3" localSheetId="8">#REF!</definedName>
    <definedName name="PAGE3" localSheetId="9">#REF!</definedName>
    <definedName name="PAGE3" localSheetId="10">#REF!</definedName>
    <definedName name="PAGE3" localSheetId="11">#REF!</definedName>
    <definedName name="PAGE3" localSheetId="12">#REF!</definedName>
    <definedName name="PAGE3">#REF!</definedName>
    <definedName name="PAGE4" localSheetId="4">#REF!</definedName>
    <definedName name="PAGE4" localSheetId="5">#REF!</definedName>
    <definedName name="PAGE4" localSheetId="7">#REF!</definedName>
    <definedName name="PAGE4" localSheetId="8">#REF!</definedName>
    <definedName name="PAGE4" localSheetId="9">#REF!</definedName>
    <definedName name="PAGE4" localSheetId="10">#REF!</definedName>
    <definedName name="PAGE4" localSheetId="11">#REF!</definedName>
    <definedName name="PAGE4" localSheetId="12">#REF!</definedName>
    <definedName name="PAGE4">#REF!</definedName>
    <definedName name="PAGE6" localSheetId="4">#REF!</definedName>
    <definedName name="PAGE6" localSheetId="5">#REF!</definedName>
    <definedName name="PAGE6" localSheetId="7">#REF!</definedName>
    <definedName name="PAGE6" localSheetId="8">#REF!</definedName>
    <definedName name="PAGE6" localSheetId="9">#REF!</definedName>
    <definedName name="PAGE6" localSheetId="10">#REF!</definedName>
    <definedName name="PAGE6" localSheetId="11">#REF!</definedName>
    <definedName name="PAGE6" localSheetId="12">#REF!</definedName>
    <definedName name="PAGE6">#REF!</definedName>
    <definedName name="PAGEALPH" localSheetId="4">#REF!</definedName>
    <definedName name="PAGEALPH" localSheetId="5">#REF!</definedName>
    <definedName name="PAGEALPH" localSheetId="7">#REF!</definedName>
    <definedName name="PAGEALPH" localSheetId="8">#REF!</definedName>
    <definedName name="PAGEALPH" localSheetId="9">#REF!</definedName>
    <definedName name="PAGEALPH" localSheetId="10">#REF!</definedName>
    <definedName name="PAGEALPH" localSheetId="11">#REF!</definedName>
    <definedName name="PAGEALPH" localSheetId="12">#REF!</definedName>
    <definedName name="PAGEALPH">#REF!</definedName>
    <definedName name="PFTTSF" localSheetId="4">#REF!</definedName>
    <definedName name="PFTTSF" localSheetId="5">#REF!</definedName>
    <definedName name="PFTTSF" localSheetId="7">#REF!</definedName>
    <definedName name="PFTTSF" localSheetId="8">#REF!</definedName>
    <definedName name="PFTTSF" localSheetId="9">#REF!</definedName>
    <definedName name="PFTTSF" localSheetId="10">#REF!</definedName>
    <definedName name="PFTTSF" localSheetId="11">#REF!</definedName>
    <definedName name="PFTTSF" localSheetId="12">#REF!</definedName>
    <definedName name="PFTTSF">#REF!</definedName>
    <definedName name="POOLALL" localSheetId="4">#REF!</definedName>
    <definedName name="POOLALL" localSheetId="5">#REF!</definedName>
    <definedName name="POOLALL" localSheetId="7">#REF!</definedName>
    <definedName name="POOLALL" localSheetId="8">#REF!</definedName>
    <definedName name="POOLALL" localSheetId="9">#REF!</definedName>
    <definedName name="POOLALL" localSheetId="10">#REF!</definedName>
    <definedName name="POOLALL" localSheetId="11">#REF!</definedName>
    <definedName name="POOLALL" localSheetId="12">#REF!</definedName>
    <definedName name="POOLALL">#REF!</definedName>
    <definedName name="POOLREC" localSheetId="4">#REF!</definedName>
    <definedName name="POOLREC" localSheetId="5">#REF!</definedName>
    <definedName name="POOLREC" localSheetId="7">#REF!</definedName>
    <definedName name="POOLREC" localSheetId="8">#REF!</definedName>
    <definedName name="POOLREC" localSheetId="9">#REF!</definedName>
    <definedName name="POOLREC" localSheetId="10">#REF!</definedName>
    <definedName name="POOLREC" localSheetId="11">#REF!</definedName>
    <definedName name="POOLREC" localSheetId="12">#REF!</definedName>
    <definedName name="POOLREC">#REF!</definedName>
    <definedName name="_xlnm.Print_Area" localSheetId="0">'1 Cover'!$A$1:$I$37</definedName>
    <definedName name="_xlnm.Print_Area" localSheetId="2">'1 Financial Highlights'!$A$1:$BQ$95</definedName>
    <definedName name="_xlnm.Print_Area" localSheetId="13">'10 Other'!$A$1:$BQ$47</definedName>
    <definedName name="_xlnm.Print_Area" localSheetId="14">'11 Balance Sheet'!$A$1:$BN$40</definedName>
    <definedName name="_xlnm.Print_Area" localSheetId="18">'12 Misc Operating Stats'!$A$1:$BQ$53</definedName>
    <definedName name="_xlnm.Print_Area" localSheetId="19">'13 Notes'!$A$1:$O$48</definedName>
    <definedName name="_xlnm.Print_Area" localSheetId="3">'2 Consolidated IS'!$A$1:$BQ$87</definedName>
    <definedName name="_xlnm.Print_Area" localSheetId="1">'2 Table of Contents'!$A$1:$G$33</definedName>
    <definedName name="_xlnm.Print_Area" localSheetId="4">'3 Canaccord Genuity '!$A$1:$BQ$80</definedName>
    <definedName name="_xlnm.Print_Area" localSheetId="6">'4 Capital Markets Canada'!$A$1:$BQ$75</definedName>
    <definedName name="_xlnm.Print_Area" localSheetId="5">'4 Capital Markets North America'!$A$1:$BL$83</definedName>
    <definedName name="_xlnm.Print_Area" localSheetId="7">'5 CG - US'!$A$1:$BQ$75</definedName>
    <definedName name="_xlnm.Print_Area" localSheetId="8">'6 CG - UK'!$A$1:$BQ$74</definedName>
    <definedName name="_xlnm.Print_Area" localSheetId="15">'7 Canada'!$A$1:$BB$79</definedName>
    <definedName name="_xlnm.Print_Area" localSheetId="9">'7 CG Other Foreign Loc'!$A$1:$BQ$74</definedName>
    <definedName name="_xlnm.Print_Area" localSheetId="10">'8 CWM Canada'!$A$1:$BQ$77</definedName>
    <definedName name="_xlnm.Print_Area" localSheetId="16">'8 UK and Europe'!$A$1:$BB$77</definedName>
    <definedName name="_xlnm.Print_Area" localSheetId="11">'9 CWM UK and Europe'!$A$1:$BQ$76</definedName>
    <definedName name="_xlnm.Print_Area" localSheetId="17">'9 US'!$A$1:$BB$75</definedName>
    <definedName name="_xlnm.Print_Area" localSheetId="12">'CWM BGF'!$A$1:$BB$84</definedName>
    <definedName name="_xlnm.Print_Area" localSheetId="20">NHI!$A$1:$K$51</definedName>
    <definedName name="test" localSheetId="4">#REF!</definedName>
    <definedName name="test" localSheetId="5">#REF!</definedName>
    <definedName name="test" localSheetId="7">#REF!</definedName>
    <definedName name="test" localSheetId="8">#REF!</definedName>
    <definedName name="test" localSheetId="9">#REF!</definedName>
    <definedName name="test" localSheetId="10">#REF!</definedName>
    <definedName name="test" localSheetId="16">#REF!</definedName>
    <definedName name="test" localSheetId="11">#REF!</definedName>
    <definedName name="test" localSheetId="12">#REF!</definedName>
    <definedName name="test">#REF!</definedName>
    <definedName name="test1" localSheetId="4">#REF!</definedName>
    <definedName name="test1" localSheetId="5">#REF!</definedName>
    <definedName name="test1" localSheetId="7">#REF!</definedName>
    <definedName name="test1" localSheetId="8">#REF!</definedName>
    <definedName name="test1" localSheetId="9">#REF!</definedName>
    <definedName name="test1" localSheetId="10">#REF!</definedName>
    <definedName name="test1" localSheetId="11">#REF!</definedName>
    <definedName name="test1" localSheetId="12">#REF!</definedName>
    <definedName name="test1">#REF!</definedName>
    <definedName name="tina" localSheetId="4">#REF!</definedName>
    <definedName name="tina" localSheetId="5">#REF!</definedName>
    <definedName name="tina" localSheetId="7">#REF!</definedName>
    <definedName name="tina" localSheetId="8">#REF!</definedName>
    <definedName name="tina" localSheetId="9">#REF!</definedName>
    <definedName name="tina" localSheetId="10">#REF!</definedName>
    <definedName name="tina" localSheetId="11">#REF!</definedName>
    <definedName name="tina" localSheetId="12">#REF!</definedName>
    <definedName name="tina">#REF!</definedName>
    <definedName name="TOP_" localSheetId="4">#REF!</definedName>
    <definedName name="TOP_" localSheetId="5">#REF!</definedName>
    <definedName name="TOP_" localSheetId="7">#REF!</definedName>
    <definedName name="TOP_" localSheetId="8">#REF!</definedName>
    <definedName name="TOP_" localSheetId="9">#REF!</definedName>
    <definedName name="TOP_" localSheetId="10">#REF!</definedName>
    <definedName name="TOP_" localSheetId="11">#REF!</definedName>
    <definedName name="TOP_" localSheetId="12">#REF!</definedName>
    <definedName name="TOP_">#REF!</definedName>
    <definedName name="TOPALPH" localSheetId="4">#REF!</definedName>
    <definedName name="TOPALPH" localSheetId="5">#REF!</definedName>
    <definedName name="TOPALPH" localSheetId="7">#REF!</definedName>
    <definedName name="TOPALPH" localSheetId="8">#REF!</definedName>
    <definedName name="TOPALPH" localSheetId="9">#REF!</definedName>
    <definedName name="TOPALPH" localSheetId="10">#REF!</definedName>
    <definedName name="TOPALPH" localSheetId="11">#REF!</definedName>
    <definedName name="TOPALPH" localSheetId="12">#REF!</definedName>
    <definedName name="TOPALPH">#REF!</definedName>
    <definedName name="TORONTO" localSheetId="4">#REF!</definedName>
    <definedName name="TORONTO" localSheetId="5">#REF!</definedName>
    <definedName name="TORONTO" localSheetId="7">#REF!</definedName>
    <definedName name="TORONTO" localSheetId="8">#REF!</definedName>
    <definedName name="TORONTO" localSheetId="9">#REF!</definedName>
    <definedName name="TORONTO" localSheetId="10">#REF!</definedName>
    <definedName name="TORONTO" localSheetId="11">#REF!</definedName>
    <definedName name="TORONTO" localSheetId="12">#REF!</definedName>
    <definedName name="TORONTO">#REF!</definedName>
    <definedName name="TORPFT" localSheetId="4">#REF!</definedName>
    <definedName name="TORPFT" localSheetId="5">#REF!</definedName>
    <definedName name="TORPFT" localSheetId="7">#REF!</definedName>
    <definedName name="TORPFT" localSheetId="8">#REF!</definedName>
    <definedName name="TORPFT" localSheetId="9">#REF!</definedName>
    <definedName name="TORPFT" localSheetId="10">#REF!</definedName>
    <definedName name="TORPFT" localSheetId="11">#REF!</definedName>
    <definedName name="TORPFT" localSheetId="12">#REF!</definedName>
    <definedName name="TORPFT">#REF!</definedName>
    <definedName name="VANPFT" localSheetId="4">#REF!</definedName>
    <definedName name="VANPFT" localSheetId="5">#REF!</definedName>
    <definedName name="VANPFT" localSheetId="7">#REF!</definedName>
    <definedName name="VANPFT" localSheetId="8">#REF!</definedName>
    <definedName name="VANPFT" localSheetId="9">#REF!</definedName>
    <definedName name="VANPFT" localSheetId="10">#REF!</definedName>
    <definedName name="VANPFT" localSheetId="11">#REF!</definedName>
    <definedName name="VANPFT" localSheetId="12">#REF!</definedName>
    <definedName name="VANPFT">#REF!</definedName>
  </definedNames>
  <calcPr calcId="145621"/>
</workbook>
</file>

<file path=xl/calcChain.xml><?xml version="1.0" encoding="utf-8"?>
<calcChain xmlns="http://schemas.openxmlformats.org/spreadsheetml/2006/main">
  <c r="C10" i="36" l="1"/>
  <c r="BI58" i="34" l="1"/>
  <c r="BI57" i="34"/>
  <c r="BI56" i="34"/>
  <c r="I78" i="43" l="1"/>
  <c r="I75" i="43"/>
  <c r="I74" i="43"/>
  <c r="I73" i="43"/>
  <c r="I72" i="43"/>
  <c r="I71" i="43"/>
  <c r="I70" i="43"/>
  <c r="J38" i="43"/>
  <c r="J37" i="43"/>
  <c r="J36" i="43"/>
  <c r="I76" i="43" l="1"/>
  <c r="I52" i="43"/>
  <c r="I14" i="43"/>
  <c r="I15" i="43" s="1"/>
  <c r="I39" i="43"/>
  <c r="I38" i="43"/>
  <c r="I37" i="43"/>
  <c r="I30" i="43"/>
  <c r="I29" i="43"/>
  <c r="I28" i="43"/>
  <c r="I27" i="43"/>
  <c r="I26" i="43"/>
  <c r="I25" i="43"/>
  <c r="I24" i="43"/>
  <c r="I23" i="43"/>
  <c r="I22" i="43"/>
  <c r="I20" i="43"/>
  <c r="I18" i="43"/>
  <c r="I17" i="43"/>
  <c r="I36" i="43" l="1"/>
  <c r="I40" i="43" s="1"/>
  <c r="I19" i="43"/>
  <c r="I34" i="43" s="1"/>
  <c r="I35" i="43" s="1"/>
  <c r="I41" i="43" l="1"/>
  <c r="I50" i="43" s="1"/>
  <c r="I59" i="43"/>
  <c r="I58" i="43"/>
  <c r="I49" i="43"/>
  <c r="I48" i="43"/>
  <c r="I47" i="43"/>
  <c r="I46" i="43"/>
  <c r="I45" i="43"/>
  <c r="I44" i="43"/>
  <c r="I43" i="43"/>
  <c r="I60" i="43" l="1"/>
  <c r="I61" i="43" s="1"/>
  <c r="I63" i="43"/>
  <c r="I64" i="43"/>
  <c r="I65" i="43" l="1"/>
  <c r="C39" i="43" l="1"/>
  <c r="C38" i="43"/>
  <c r="D38" i="43" s="1"/>
  <c r="C37" i="43"/>
  <c r="C36" i="43"/>
  <c r="D36" i="43" s="1"/>
  <c r="C31" i="43"/>
  <c r="J78" i="43"/>
  <c r="AJ76" i="43"/>
  <c r="J75" i="43"/>
  <c r="J74" i="43"/>
  <c r="J73" i="43"/>
  <c r="J72" i="43"/>
  <c r="J71" i="43"/>
  <c r="J70" i="43"/>
  <c r="AJ63" i="43"/>
  <c r="BJ59" i="43"/>
  <c r="BJ64" i="43" s="1"/>
  <c r="BJ58" i="43"/>
  <c r="BJ60" i="43" s="1"/>
  <c r="BJ65" i="43" s="1"/>
  <c r="J52" i="43"/>
  <c r="BJ48" i="43"/>
  <c r="AJ48" i="43"/>
  <c r="AJ47" i="43"/>
  <c r="AJ46" i="43"/>
  <c r="BJ45" i="43"/>
  <c r="AJ45" i="43"/>
  <c r="AJ35" i="43"/>
  <c r="AJ49" i="43" s="1"/>
  <c r="BJ34" i="43"/>
  <c r="AJ34" i="43"/>
  <c r="AJ59" i="43" s="1"/>
  <c r="J30" i="43"/>
  <c r="J29" i="43"/>
  <c r="J28" i="43"/>
  <c r="J27" i="43"/>
  <c r="J26" i="43"/>
  <c r="J25" i="43"/>
  <c r="J24" i="43"/>
  <c r="J23" i="43"/>
  <c r="J22" i="43"/>
  <c r="AZ21" i="43"/>
  <c r="J20" i="43"/>
  <c r="J18" i="43"/>
  <c r="J17" i="43"/>
  <c r="BJ15" i="43"/>
  <c r="BJ63" i="43" s="1"/>
  <c r="J76" i="43" l="1"/>
  <c r="J19" i="43"/>
  <c r="J34" i="43" s="1"/>
  <c r="AJ64" i="43"/>
  <c r="AJ60" i="43"/>
  <c r="AJ65" i="43" s="1"/>
  <c r="BJ35" i="43"/>
  <c r="BJ47" i="43"/>
  <c r="AJ41" i="43"/>
  <c r="AJ50" i="43" s="1"/>
  <c r="BJ46" i="43"/>
  <c r="BD78" i="43"/>
  <c r="BC78" i="43"/>
  <c r="S78" i="43"/>
  <c r="R78" i="43"/>
  <c r="Q78" i="43"/>
  <c r="P78" i="43"/>
  <c r="O78" i="43"/>
  <c r="N78" i="43"/>
  <c r="M78" i="43"/>
  <c r="C78" i="43" s="1"/>
  <c r="D78" i="43" s="1"/>
  <c r="L78" i="43"/>
  <c r="K78" i="43"/>
  <c r="BD75" i="43"/>
  <c r="Y75" i="43"/>
  <c r="S75" i="43"/>
  <c r="R75" i="43"/>
  <c r="Q75" i="43"/>
  <c r="P75" i="43"/>
  <c r="O75" i="43"/>
  <c r="N75" i="43"/>
  <c r="M75" i="43"/>
  <c r="C75" i="43" s="1"/>
  <c r="D75" i="43" s="1"/>
  <c r="L75" i="43"/>
  <c r="K75" i="43"/>
  <c r="BD74" i="43"/>
  <c r="Y74" i="43"/>
  <c r="S74" i="43"/>
  <c r="R74" i="43"/>
  <c r="Q74" i="43"/>
  <c r="P74" i="43"/>
  <c r="O74" i="43"/>
  <c r="N74" i="43"/>
  <c r="M74" i="43"/>
  <c r="C74" i="43" s="1"/>
  <c r="D74" i="43" s="1"/>
  <c r="L74" i="43"/>
  <c r="K74" i="43"/>
  <c r="BD73" i="43"/>
  <c r="Y73" i="43"/>
  <c r="S73" i="43"/>
  <c r="R73" i="43"/>
  <c r="Q73" i="43"/>
  <c r="P73" i="43"/>
  <c r="O73" i="43"/>
  <c r="N73" i="43"/>
  <c r="M73" i="43"/>
  <c r="C73" i="43" s="1"/>
  <c r="D73" i="43" s="1"/>
  <c r="L73" i="43"/>
  <c r="K73" i="43"/>
  <c r="BD72" i="43"/>
  <c r="Y72" i="43"/>
  <c r="S72" i="43"/>
  <c r="R72" i="43"/>
  <c r="Q72" i="43"/>
  <c r="P72" i="43"/>
  <c r="O72" i="43"/>
  <c r="N72" i="43"/>
  <c r="M72" i="43"/>
  <c r="C72" i="43" s="1"/>
  <c r="D72" i="43" s="1"/>
  <c r="L72" i="43"/>
  <c r="K72" i="43"/>
  <c r="BD71" i="43"/>
  <c r="Y71" i="43"/>
  <c r="S71" i="43"/>
  <c r="R71" i="43"/>
  <c r="Q71" i="43"/>
  <c r="P71" i="43"/>
  <c r="O71" i="43"/>
  <c r="N71" i="43"/>
  <c r="M71" i="43"/>
  <c r="C71" i="43" s="1"/>
  <c r="D71" i="43" s="1"/>
  <c r="L71" i="43"/>
  <c r="K71" i="43"/>
  <c r="BD70" i="43"/>
  <c r="Y70" i="43"/>
  <c r="S70" i="43"/>
  <c r="R70" i="43"/>
  <c r="Q70" i="43"/>
  <c r="P70" i="43"/>
  <c r="O70" i="43"/>
  <c r="N70" i="43"/>
  <c r="M70" i="43"/>
  <c r="C70" i="43" s="1"/>
  <c r="D70" i="43" s="1"/>
  <c r="L70" i="43"/>
  <c r="K70" i="43"/>
  <c r="BD52" i="43"/>
  <c r="BC52" i="43"/>
  <c r="BB52" i="43"/>
  <c r="S52" i="43"/>
  <c r="R52" i="43"/>
  <c r="Q52" i="43"/>
  <c r="BD40" i="43"/>
  <c r="BC40" i="43"/>
  <c r="BB40" i="43"/>
  <c r="Y40" i="43"/>
  <c r="S40" i="43"/>
  <c r="R40" i="43"/>
  <c r="P40" i="43"/>
  <c r="Y32" i="43"/>
  <c r="BD30" i="43"/>
  <c r="BB30" i="43"/>
  <c r="S30" i="43"/>
  <c r="R30" i="43"/>
  <c r="Q30" i="43"/>
  <c r="P30" i="43"/>
  <c r="O30" i="43"/>
  <c r="N30" i="43"/>
  <c r="M30" i="43"/>
  <c r="C30" i="43" s="1"/>
  <c r="L30" i="43"/>
  <c r="K30" i="43"/>
  <c r="BD29" i="43"/>
  <c r="Y29" i="43"/>
  <c r="S29" i="43"/>
  <c r="R29" i="43"/>
  <c r="Q29" i="43"/>
  <c r="P29" i="43"/>
  <c r="O29" i="43"/>
  <c r="N29" i="43"/>
  <c r="M29" i="43"/>
  <c r="C29" i="43" s="1"/>
  <c r="L29" i="43"/>
  <c r="K29" i="43"/>
  <c r="BD28" i="43"/>
  <c r="Y28" i="43"/>
  <c r="S28" i="43"/>
  <c r="R28" i="43"/>
  <c r="Q28" i="43"/>
  <c r="P28" i="43"/>
  <c r="O28" i="43"/>
  <c r="N28" i="43"/>
  <c r="M28" i="43"/>
  <c r="C28" i="43" s="1"/>
  <c r="D28" i="43" s="1"/>
  <c r="L28" i="43"/>
  <c r="K28" i="43"/>
  <c r="BD27" i="43"/>
  <c r="Y27" i="43"/>
  <c r="S27" i="43"/>
  <c r="R27" i="43"/>
  <c r="Q27" i="43"/>
  <c r="P27" i="43"/>
  <c r="O27" i="43"/>
  <c r="N27" i="43"/>
  <c r="M27" i="43"/>
  <c r="C27" i="43" s="1"/>
  <c r="D27" i="43" s="1"/>
  <c r="L27" i="43"/>
  <c r="K27" i="43"/>
  <c r="BD26" i="43"/>
  <c r="Y26" i="43"/>
  <c r="S26" i="43"/>
  <c r="R26" i="43"/>
  <c r="Q26" i="43"/>
  <c r="P26" i="43"/>
  <c r="O26" i="43"/>
  <c r="N26" i="43"/>
  <c r="M26" i="43"/>
  <c r="C26" i="43" s="1"/>
  <c r="D26" i="43" s="1"/>
  <c r="L26" i="43"/>
  <c r="K26" i="43"/>
  <c r="BD25" i="43"/>
  <c r="Y25" i="43"/>
  <c r="S25" i="43"/>
  <c r="R25" i="43"/>
  <c r="Q25" i="43"/>
  <c r="P25" i="43"/>
  <c r="O25" i="43"/>
  <c r="N25" i="43"/>
  <c r="M25" i="43"/>
  <c r="C25" i="43" s="1"/>
  <c r="D25" i="43" s="1"/>
  <c r="L25" i="43"/>
  <c r="K25" i="43"/>
  <c r="BD24" i="43"/>
  <c r="Y24" i="43"/>
  <c r="S24" i="43"/>
  <c r="R24" i="43"/>
  <c r="Q24" i="43"/>
  <c r="P24" i="43"/>
  <c r="O24" i="43"/>
  <c r="N24" i="43"/>
  <c r="M24" i="43"/>
  <c r="C24" i="43" s="1"/>
  <c r="D24" i="43" s="1"/>
  <c r="L24" i="43"/>
  <c r="K24" i="43"/>
  <c r="BD23" i="43"/>
  <c r="Y23" i="43"/>
  <c r="S23" i="43"/>
  <c r="R23" i="43"/>
  <c r="Q23" i="43"/>
  <c r="P23" i="43"/>
  <c r="O23" i="43"/>
  <c r="N23" i="43"/>
  <c r="M23" i="43"/>
  <c r="C23" i="43" s="1"/>
  <c r="D23" i="43" s="1"/>
  <c r="L23" i="43"/>
  <c r="K23" i="43"/>
  <c r="BD22" i="43"/>
  <c r="Y22" i="43"/>
  <c r="S22" i="43"/>
  <c r="R22" i="43"/>
  <c r="P22" i="43"/>
  <c r="O22" i="43"/>
  <c r="N22" i="43"/>
  <c r="M22" i="43"/>
  <c r="C22" i="43" s="1"/>
  <c r="D22" i="43" s="1"/>
  <c r="L22" i="43"/>
  <c r="K22" i="43"/>
  <c r="BD20" i="43"/>
  <c r="Y20" i="43"/>
  <c r="S20" i="43"/>
  <c r="R20" i="43"/>
  <c r="Q20" i="43"/>
  <c r="P20" i="43"/>
  <c r="O20" i="43"/>
  <c r="N20" i="43"/>
  <c r="M20" i="43"/>
  <c r="C20" i="43" s="1"/>
  <c r="D20" i="43" s="1"/>
  <c r="L20" i="43"/>
  <c r="K20" i="43"/>
  <c r="BD18" i="43"/>
  <c r="Y18" i="43"/>
  <c r="S18" i="43"/>
  <c r="R18" i="43"/>
  <c r="Q18" i="43"/>
  <c r="P18" i="43"/>
  <c r="O18" i="43"/>
  <c r="N18" i="43"/>
  <c r="M18" i="43"/>
  <c r="C18" i="43" s="1"/>
  <c r="D18" i="43" s="1"/>
  <c r="L18" i="43"/>
  <c r="K18" i="43"/>
  <c r="Q17" i="43"/>
  <c r="P17" i="43"/>
  <c r="O17" i="43"/>
  <c r="N17" i="43"/>
  <c r="M17" i="43"/>
  <c r="C17" i="43" s="1"/>
  <c r="D17" i="43" s="1"/>
  <c r="L17" i="43"/>
  <c r="K17" i="43"/>
  <c r="BD14" i="43"/>
  <c r="BC14" i="43"/>
  <c r="BB14" i="43"/>
  <c r="S14" i="43"/>
  <c r="R14" i="43"/>
  <c r="Q14" i="43"/>
  <c r="N14" i="43"/>
  <c r="M14" i="43"/>
  <c r="C14" i="43" s="1"/>
  <c r="D14" i="43" s="1"/>
  <c r="K14" i="43"/>
  <c r="AZ72" i="43" l="1"/>
  <c r="AZ29" i="43"/>
  <c r="AZ74" i="43"/>
  <c r="AZ75" i="43"/>
  <c r="AZ20" i="43"/>
  <c r="AZ24" i="43"/>
  <c r="AZ28" i="43"/>
  <c r="AZ30" i="43"/>
  <c r="AZ25" i="43"/>
  <c r="AZ70" i="43"/>
  <c r="AZ73" i="43"/>
  <c r="AZ18" i="43"/>
  <c r="AZ23" i="43"/>
  <c r="AZ78" i="43"/>
  <c r="AZ17" i="43"/>
  <c r="AZ26" i="43"/>
  <c r="AZ71" i="43"/>
  <c r="AZ27" i="43"/>
  <c r="AZ22" i="43"/>
  <c r="J15" i="43"/>
  <c r="J35" i="43" s="1"/>
  <c r="BJ41" i="43"/>
  <c r="BJ50" i="43" s="1"/>
  <c r="BJ49" i="43"/>
  <c r="J59" i="43"/>
  <c r="BL81" i="43"/>
  <c r="BA78" i="43"/>
  <c r="AV78" i="43"/>
  <c r="AU78" i="43"/>
  <c r="BI76" i="43"/>
  <c r="BG76" i="43"/>
  <c r="AL76" i="43"/>
  <c r="AK76" i="43"/>
  <c r="AH76" i="43"/>
  <c r="AG76" i="43"/>
  <c r="AF76" i="43"/>
  <c r="AE76" i="43"/>
  <c r="AD76" i="43"/>
  <c r="AC76" i="43"/>
  <c r="AB76" i="43"/>
  <c r="AA76" i="43"/>
  <c r="Z76" i="43"/>
  <c r="O76" i="43"/>
  <c r="AV75" i="43"/>
  <c r="BA75" i="43"/>
  <c r="AU75" i="43"/>
  <c r="BA74" i="43"/>
  <c r="AU74" i="43"/>
  <c r="AV73" i="43"/>
  <c r="BA73" i="43"/>
  <c r="AU73" i="43"/>
  <c r="BH72" i="43"/>
  <c r="AV72" i="43"/>
  <c r="M76" i="43"/>
  <c r="C76" i="43" s="1"/>
  <c r="D76" i="43" s="1"/>
  <c r="BI71" i="43"/>
  <c r="BH71" i="43"/>
  <c r="BH76" i="43" s="1"/>
  <c r="AI71" i="43"/>
  <c r="AI76" i="43" s="1"/>
  <c r="AH71" i="43"/>
  <c r="AC71" i="43"/>
  <c r="Y76" i="43"/>
  <c r="AV71" i="43"/>
  <c r="L76" i="43"/>
  <c r="BD76" i="43"/>
  <c r="S76" i="43"/>
  <c r="AV70" i="43"/>
  <c r="K76" i="43"/>
  <c r="BE65" i="43"/>
  <c r="BE64" i="43"/>
  <c r="BI63" i="43"/>
  <c r="BH63" i="43"/>
  <c r="BG63" i="43"/>
  <c r="BE63" i="43"/>
  <c r="AL63" i="43"/>
  <c r="AK63" i="43"/>
  <c r="AI63" i="43"/>
  <c r="AH63" i="43"/>
  <c r="BH60" i="43"/>
  <c r="BH65" i="43" s="1"/>
  <c r="AG60" i="43"/>
  <c r="AF60" i="43"/>
  <c r="AE60" i="43"/>
  <c r="AD60" i="43"/>
  <c r="AB59" i="43"/>
  <c r="AA59" i="43"/>
  <c r="Z58" i="43"/>
  <c r="Z60" i="43" s="1"/>
  <c r="BE50" i="43"/>
  <c r="BE49" i="43"/>
  <c r="BH48" i="43"/>
  <c r="BE48" i="43"/>
  <c r="BI47" i="43"/>
  <c r="BH47" i="43"/>
  <c r="BG47" i="43"/>
  <c r="BE47" i="43"/>
  <c r="AL47" i="43"/>
  <c r="AK47" i="43"/>
  <c r="AI47" i="43"/>
  <c r="AH47" i="43"/>
  <c r="AC47" i="43"/>
  <c r="BI46" i="43"/>
  <c r="BH46" i="43"/>
  <c r="BG46" i="43"/>
  <c r="BE46" i="43"/>
  <c r="AL46" i="43"/>
  <c r="AK46" i="43"/>
  <c r="AI46" i="43"/>
  <c r="AH46" i="43"/>
  <c r="BI45" i="43"/>
  <c r="BH45" i="43"/>
  <c r="BG45" i="43"/>
  <c r="BE45" i="43"/>
  <c r="AL45" i="43"/>
  <c r="AK45" i="43"/>
  <c r="AI45" i="43"/>
  <c r="AH45" i="43"/>
  <c r="AA45" i="43"/>
  <c r="BG44" i="43"/>
  <c r="BE44" i="43"/>
  <c r="BG43" i="43"/>
  <c r="BE43" i="43"/>
  <c r="Z43" i="43"/>
  <c r="BH41" i="43"/>
  <c r="BH50" i="43" s="1"/>
  <c r="AF41" i="43"/>
  <c r="AE41" i="43"/>
  <c r="BA39" i="43"/>
  <c r="AV39" i="43"/>
  <c r="AU39" i="43"/>
  <c r="BA38" i="43"/>
  <c r="AV38" i="43"/>
  <c r="AU38" i="43"/>
  <c r="AV37" i="43"/>
  <c r="AU37" i="43"/>
  <c r="N37" i="43"/>
  <c r="AV36" i="43"/>
  <c r="AU36" i="43"/>
  <c r="N36" i="43"/>
  <c r="BA36" i="43" s="1"/>
  <c r="BH35" i="43"/>
  <c r="BH49" i="43" s="1"/>
  <c r="BG35" i="43"/>
  <c r="AI35" i="43"/>
  <c r="AG35" i="43"/>
  <c r="AG41" i="43" s="1"/>
  <c r="AF35" i="43"/>
  <c r="AE35" i="43"/>
  <c r="AD35" i="43"/>
  <c r="AD41" i="43" s="1"/>
  <c r="BI34" i="43"/>
  <c r="BI35" i="43" s="1"/>
  <c r="BH34" i="43"/>
  <c r="BH59" i="43" s="1"/>
  <c r="BH64" i="43" s="1"/>
  <c r="BG34" i="43"/>
  <c r="BG48" i="43" s="1"/>
  <c r="AL34" i="43"/>
  <c r="AK34" i="43"/>
  <c r="AI34" i="43"/>
  <c r="AI48" i="43" s="1"/>
  <c r="AH34" i="43"/>
  <c r="AC34" i="43"/>
  <c r="AC59" i="43" s="1"/>
  <c r="AC63" i="43" s="1"/>
  <c r="AB34" i="43"/>
  <c r="AA34" i="43"/>
  <c r="AA48" i="43" s="1"/>
  <c r="Z34" i="43"/>
  <c r="Z59" i="43" s="1"/>
  <c r="U34" i="43"/>
  <c r="AV32" i="43"/>
  <c r="AU32" i="43"/>
  <c r="BA31" i="43"/>
  <c r="AW31" i="43" s="1"/>
  <c r="AX31" i="43" s="1"/>
  <c r="AV31" i="43"/>
  <c r="AU31" i="43"/>
  <c r="BA30" i="43"/>
  <c r="AV30" i="43"/>
  <c r="AU30" i="43"/>
  <c r="BA29" i="43"/>
  <c r="AV29" i="43"/>
  <c r="AV28" i="43"/>
  <c r="AV27" i="43"/>
  <c r="BA27" i="43"/>
  <c r="AU27" i="43"/>
  <c r="AV26" i="43"/>
  <c r="BA26" i="43"/>
  <c r="AV25" i="43"/>
  <c r="BA25" i="43"/>
  <c r="AU25" i="43"/>
  <c r="AV23" i="43"/>
  <c r="BA23" i="43"/>
  <c r="AU23" i="43"/>
  <c r="BA21" i="43"/>
  <c r="AX21" i="43" s="1"/>
  <c r="BA20" i="43"/>
  <c r="AV20" i="43"/>
  <c r="T19" i="43"/>
  <c r="T34" i="43" s="1"/>
  <c r="K19" i="43"/>
  <c r="AV18" i="43"/>
  <c r="P19" i="43"/>
  <c r="M19" i="43"/>
  <c r="AU17" i="43"/>
  <c r="BB15" i="43"/>
  <c r="AC15" i="43"/>
  <c r="AA15" i="43"/>
  <c r="AA35" i="43" s="1"/>
  <c r="Z15" i="43"/>
  <c r="Z44" i="43" s="1"/>
  <c r="S15" i="43"/>
  <c r="S58" i="43" s="1"/>
  <c r="K15" i="43"/>
  <c r="K58" i="43" s="1"/>
  <c r="BD15" i="43"/>
  <c r="BC15" i="43"/>
  <c r="AB15" i="43"/>
  <c r="R15" i="43"/>
  <c r="Q15" i="43"/>
  <c r="Q43" i="43" s="1"/>
  <c r="M15" i="43"/>
  <c r="AW74" i="43" l="1"/>
  <c r="AX74" i="43" s="1"/>
  <c r="M44" i="43"/>
  <c r="C44" i="43" s="1"/>
  <c r="C15" i="43"/>
  <c r="D15" i="43" s="1"/>
  <c r="M34" i="43"/>
  <c r="C34" i="43" s="1"/>
  <c r="D34" i="43" s="1"/>
  <c r="C19" i="43"/>
  <c r="D19" i="43" s="1"/>
  <c r="J48" i="43"/>
  <c r="J58" i="43"/>
  <c r="J63" i="43" s="1"/>
  <c r="J47" i="43"/>
  <c r="J43" i="43"/>
  <c r="J46" i="43"/>
  <c r="J45" i="43"/>
  <c r="J44" i="43"/>
  <c r="J49" i="43"/>
  <c r="K44" i="43"/>
  <c r="AW20" i="43"/>
  <c r="AX20" i="43" s="1"/>
  <c r="R58" i="43"/>
  <c r="R44" i="43"/>
  <c r="P34" i="43"/>
  <c r="AW27" i="43"/>
  <c r="AX27" i="43" s="1"/>
  <c r="K46" i="43"/>
  <c r="K45" i="43"/>
  <c r="K34" i="43"/>
  <c r="AK48" i="43"/>
  <c r="AK59" i="43"/>
  <c r="AK35" i="43"/>
  <c r="AB63" i="43"/>
  <c r="AU20" i="43"/>
  <c r="AU28" i="43"/>
  <c r="N76" i="43"/>
  <c r="BA70" i="43"/>
  <c r="AA41" i="43"/>
  <c r="AA50" i="43" s="1"/>
  <c r="AA49" i="43"/>
  <c r="Q44" i="43"/>
  <c r="Q19" i="43"/>
  <c r="AU22" i="43"/>
  <c r="K47" i="43"/>
  <c r="S47" i="43"/>
  <c r="AH35" i="43"/>
  <c r="AH48" i="43"/>
  <c r="AH59" i="43"/>
  <c r="N15" i="43"/>
  <c r="N47" i="43" s="1"/>
  <c r="AB58" i="43"/>
  <c r="AB60" i="43" s="1"/>
  <c r="AB65" i="43" s="1"/>
  <c r="AB46" i="43"/>
  <c r="AB43" i="43"/>
  <c r="AB47" i="43"/>
  <c r="AB44" i="43"/>
  <c r="AB35" i="43"/>
  <c r="AB45" i="43"/>
  <c r="K43" i="43"/>
  <c r="M58" i="43"/>
  <c r="C58" i="43" s="1"/>
  <c r="D58" i="43" s="1"/>
  <c r="AW73" i="43"/>
  <c r="AX73" i="43" s="1"/>
  <c r="Z61" i="43"/>
  <c r="Z65" i="43"/>
  <c r="Q58" i="43"/>
  <c r="L19" i="43"/>
  <c r="AU26" i="43"/>
  <c r="AW26" i="43"/>
  <c r="AX26" i="43" s="1"/>
  <c r="Z64" i="43"/>
  <c r="AL59" i="43"/>
  <c r="AL35" i="43"/>
  <c r="Z63" i="43"/>
  <c r="O19" i="43"/>
  <c r="BA17" i="43"/>
  <c r="AV17" i="43"/>
  <c r="N19" i="43"/>
  <c r="BA24" i="43"/>
  <c r="AV24" i="43"/>
  <c r="AW25" i="43"/>
  <c r="AX25" i="43" s="1"/>
  <c r="AI49" i="43"/>
  <c r="AI41" i="43"/>
  <c r="AI50" i="43" s="1"/>
  <c r="Z48" i="43"/>
  <c r="BA72" i="43"/>
  <c r="BG49" i="43"/>
  <c r="BG41" i="43"/>
  <c r="BG50" i="43" s="1"/>
  <c r="AA63" i="43"/>
  <c r="M45" i="43"/>
  <c r="C45" i="43" s="1"/>
  <c r="M46" i="43"/>
  <c r="C46" i="43" s="1"/>
  <c r="BA37" i="43"/>
  <c r="BA18" i="43"/>
  <c r="AW23" i="43"/>
  <c r="AX23" i="43" s="1"/>
  <c r="R47" i="43"/>
  <c r="BD44" i="43"/>
  <c r="AL48" i="43"/>
  <c r="AC58" i="43"/>
  <c r="AC60" i="43" s="1"/>
  <c r="AC65" i="43" s="1"/>
  <c r="AC46" i="43"/>
  <c r="AC45" i="43"/>
  <c r="AU24" i="43"/>
  <c r="BA28" i="43"/>
  <c r="AW28" i="43" s="1"/>
  <c r="AX28" i="43" s="1"/>
  <c r="M43" i="43"/>
  <c r="C43" i="43" s="1"/>
  <c r="AA43" i="43"/>
  <c r="AU71" i="43"/>
  <c r="AV74" i="43"/>
  <c r="AV76" i="43" s="1"/>
  <c r="P76" i="43"/>
  <c r="AU29" i="43"/>
  <c r="Z46" i="43"/>
  <c r="S44" i="43"/>
  <c r="M47" i="43"/>
  <c r="C47" i="43" s="1"/>
  <c r="AW30" i="43"/>
  <c r="AW75" i="43"/>
  <c r="AX75" i="43" s="1"/>
  <c r="BD47" i="43"/>
  <c r="Z47" i="43"/>
  <c r="Z45" i="43"/>
  <c r="Z35" i="43"/>
  <c r="AB48" i="43"/>
  <c r="AC48" i="43"/>
  <c r="AI59" i="43"/>
  <c r="BG59" i="43"/>
  <c r="Q76" i="43"/>
  <c r="AA47" i="43"/>
  <c r="AA58" i="43"/>
  <c r="AA60" i="43" s="1"/>
  <c r="AA46" i="43"/>
  <c r="AA44" i="43"/>
  <c r="AU18" i="43"/>
  <c r="AC64" i="43"/>
  <c r="BI49" i="43"/>
  <c r="BI41" i="43"/>
  <c r="BI50" i="43" s="1"/>
  <c r="AC35" i="43"/>
  <c r="BI48" i="43"/>
  <c r="BI59" i="43"/>
  <c r="R76" i="43"/>
  <c r="BA71" i="43"/>
  <c r="AW71" i="43" s="1"/>
  <c r="AX71" i="43" s="1"/>
  <c r="AU72" i="43"/>
  <c r="AW78" i="43"/>
  <c r="AX78" i="43" s="1"/>
  <c r="AU70" i="43"/>
  <c r="M35" i="43" l="1"/>
  <c r="C35" i="43" s="1"/>
  <c r="D35" i="43" s="1"/>
  <c r="M48" i="43"/>
  <c r="C48" i="43" s="1"/>
  <c r="M59" i="43"/>
  <c r="C59" i="43" s="1"/>
  <c r="D59" i="43" s="1"/>
  <c r="J60" i="43"/>
  <c r="J65" i="43" s="1"/>
  <c r="J64" i="43"/>
  <c r="N44" i="43"/>
  <c r="AW72" i="43"/>
  <c r="AX72" i="43" s="1"/>
  <c r="AZ76" i="43"/>
  <c r="N46" i="43"/>
  <c r="N45" i="43"/>
  <c r="N34" i="43"/>
  <c r="N35" i="43" s="1"/>
  <c r="Q45" i="43"/>
  <c r="Q46" i="43"/>
  <c r="AC49" i="43"/>
  <c r="AC41" i="43"/>
  <c r="AC50" i="43" s="1"/>
  <c r="O34" i="43"/>
  <c r="AW24" i="43"/>
  <c r="AX24" i="43" s="1"/>
  <c r="N58" i="43"/>
  <c r="AK60" i="43"/>
  <c r="AK65" i="43" s="1"/>
  <c r="AK64" i="43"/>
  <c r="AW18" i="43"/>
  <c r="AX18" i="43" s="1"/>
  <c r="AU19" i="43"/>
  <c r="Z49" i="43"/>
  <c r="Z41" i="43"/>
  <c r="Z50" i="43" s="1"/>
  <c r="K48" i="43"/>
  <c r="K59" i="43"/>
  <c r="K35" i="43"/>
  <c r="P59" i="43"/>
  <c r="L34" i="43"/>
  <c r="AH64" i="43"/>
  <c r="AH60" i="43"/>
  <c r="AH65" i="43" s="1"/>
  <c r="AB64" i="43"/>
  <c r="BG60" i="43"/>
  <c r="BG65" i="43" s="1"/>
  <c r="BG64" i="43"/>
  <c r="AI64" i="43"/>
  <c r="AI60" i="43"/>
  <c r="AI65" i="43" s="1"/>
  <c r="AU76" i="43"/>
  <c r="BI64" i="43"/>
  <c r="BI60" i="43"/>
  <c r="BI65" i="43" s="1"/>
  <c r="AA64" i="43"/>
  <c r="AV19" i="43"/>
  <c r="AL49" i="43"/>
  <c r="AL41" i="43"/>
  <c r="AL50" i="43" s="1"/>
  <c r="N43" i="43"/>
  <c r="BA76" i="43"/>
  <c r="AW70" i="43"/>
  <c r="AX70" i="43" s="1"/>
  <c r="AA65" i="43"/>
  <c r="AA61" i="43"/>
  <c r="BA19" i="43"/>
  <c r="AL60" i="43"/>
  <c r="AL65" i="43" s="1"/>
  <c r="AL64" i="43"/>
  <c r="AB49" i="43"/>
  <c r="AB41" i="43"/>
  <c r="AB50" i="43" s="1"/>
  <c r="AH49" i="43"/>
  <c r="AH41" i="43"/>
  <c r="AH50" i="43" s="1"/>
  <c r="AK49" i="43"/>
  <c r="AK41" i="43"/>
  <c r="AK50" i="43" s="1"/>
  <c r="M49" i="43" l="1"/>
  <c r="C49" i="43" s="1"/>
  <c r="M64" i="43"/>
  <c r="C64" i="43" s="1"/>
  <c r="M60" i="43"/>
  <c r="M65" i="43" s="1"/>
  <c r="C65" i="43" s="1"/>
  <c r="M63" i="43"/>
  <c r="C63" i="43" s="1"/>
  <c r="AW76" i="43"/>
  <c r="AX76" i="43" s="1"/>
  <c r="AU34" i="43"/>
  <c r="O59" i="43"/>
  <c r="K49" i="43"/>
  <c r="K63" i="43"/>
  <c r="K64" i="43"/>
  <c r="K60" i="43"/>
  <c r="L59" i="43"/>
  <c r="AZ59" i="43" s="1"/>
  <c r="N49" i="43"/>
  <c r="N59" i="43"/>
  <c r="N60" i="43" s="1"/>
  <c r="N48" i="43"/>
  <c r="C60" i="43" l="1"/>
  <c r="D60" i="43" s="1"/>
  <c r="N65" i="43"/>
  <c r="K65" i="43"/>
  <c r="AU59" i="43"/>
  <c r="N64" i="43"/>
  <c r="N63" i="43"/>
  <c r="AW29" i="43" l="1"/>
  <c r="AX29" i="43" s="1"/>
  <c r="AZ19" i="43" l="1"/>
  <c r="AW17" i="43"/>
  <c r="AX17" i="43" s="1"/>
  <c r="AZ34" i="43" l="1"/>
  <c r="AW19" i="43"/>
  <c r="AX19" i="43" s="1"/>
  <c r="AZ39" i="43" l="1"/>
  <c r="AW39" i="43" s="1"/>
  <c r="AX39" i="43" s="1"/>
  <c r="AZ38" i="43"/>
  <c r="AW38" i="43" s="1"/>
  <c r="AX38" i="43" s="1"/>
  <c r="AZ37" i="43"/>
  <c r="AW37" i="43" s="1"/>
  <c r="J40" i="43" l="1"/>
  <c r="J41" i="43" s="1"/>
  <c r="J50" i="43" s="1"/>
  <c r="J61" i="43" l="1"/>
  <c r="AZ52" i="43" l="1"/>
  <c r="X90" i="8" l="1"/>
  <c r="Y90" i="8"/>
  <c r="Z90" i="8"/>
  <c r="AA90" i="8"/>
  <c r="AB90" i="8"/>
  <c r="AC90" i="8"/>
  <c r="AD90" i="8"/>
  <c r="AE90" i="8"/>
  <c r="AH90" i="8"/>
  <c r="AI90" i="8"/>
  <c r="AJ90" i="8"/>
  <c r="AK90" i="8"/>
  <c r="AL90" i="8"/>
  <c r="AM90" i="8"/>
  <c r="AN90" i="8"/>
  <c r="AO90" i="8"/>
  <c r="AP90" i="8"/>
  <c r="AQ90" i="8"/>
  <c r="AR90" i="8"/>
  <c r="AS90" i="8"/>
  <c r="AT90" i="8"/>
  <c r="AU90" i="8"/>
  <c r="AV90" i="8"/>
  <c r="AW90" i="8"/>
  <c r="BJ62" i="40" l="1"/>
  <c r="BJ61" i="40"/>
  <c r="BJ43" i="34"/>
  <c r="BJ42" i="34"/>
  <c r="BJ41" i="34"/>
  <c r="BJ40" i="34"/>
  <c r="BJ39" i="34"/>
  <c r="BJ38" i="34"/>
  <c r="BJ37" i="34"/>
  <c r="BJ38" i="38"/>
  <c r="BJ37" i="38"/>
  <c r="BJ36" i="38"/>
  <c r="BJ57" i="36"/>
  <c r="BJ56" i="36"/>
  <c r="BJ55" i="36"/>
  <c r="BJ42" i="36"/>
  <c r="BJ41" i="36"/>
  <c r="BJ40" i="36"/>
  <c r="BJ39" i="36"/>
  <c r="BJ38" i="36"/>
  <c r="BJ37" i="36"/>
  <c r="BJ36" i="36"/>
  <c r="BJ35" i="36"/>
  <c r="BJ61" i="42"/>
  <c r="BJ80" i="8"/>
  <c r="BJ79" i="8"/>
  <c r="BJ78" i="8"/>
  <c r="BJ77" i="8"/>
  <c r="BJ60" i="8"/>
  <c r="BJ59" i="8"/>
  <c r="BJ58" i="8"/>
  <c r="BJ57" i="8"/>
  <c r="BJ56" i="8"/>
  <c r="BJ55" i="8"/>
  <c r="BJ54" i="8"/>
  <c r="BJ53" i="8"/>
  <c r="K40" i="43" l="1"/>
  <c r="K41" i="43" s="1"/>
  <c r="K50" i="43" s="1"/>
  <c r="K61" i="43" l="1"/>
  <c r="K52" i="43"/>
  <c r="AU52" i="43" s="1"/>
  <c r="L52" i="43" l="1"/>
  <c r="L40" i="43" l="1"/>
  <c r="L14" i="43" l="1"/>
  <c r="AZ14" i="43" s="1"/>
  <c r="L15" i="43" l="1"/>
  <c r="AU14" i="43"/>
  <c r="AU15" i="43" s="1"/>
  <c r="L58" i="43" l="1"/>
  <c r="L47" i="43"/>
  <c r="L44" i="43"/>
  <c r="L43" i="43"/>
  <c r="L45" i="43"/>
  <c r="L46" i="43"/>
  <c r="L35" i="43"/>
  <c r="L48" i="43"/>
  <c r="AZ15" i="43"/>
  <c r="AU43" i="43"/>
  <c r="AU47" i="43"/>
  <c r="AU44" i="43"/>
  <c r="AU46" i="43"/>
  <c r="AU45" i="43"/>
  <c r="AU48" i="43"/>
  <c r="AU35" i="43"/>
  <c r="L49" i="43" l="1"/>
  <c r="L41" i="43"/>
  <c r="L50" i="43" s="1"/>
  <c r="AU49" i="43"/>
  <c r="AZ44" i="43"/>
  <c r="AZ43" i="43"/>
  <c r="AZ47" i="43"/>
  <c r="AZ58" i="43"/>
  <c r="AZ45" i="43"/>
  <c r="AZ46" i="43"/>
  <c r="AZ48" i="43"/>
  <c r="AZ35" i="43"/>
  <c r="AU58" i="43"/>
  <c r="L64" i="43"/>
  <c r="L63" i="43"/>
  <c r="L60" i="43"/>
  <c r="L65" i="43" l="1"/>
  <c r="L61" i="43"/>
  <c r="AZ49" i="43"/>
  <c r="AZ63" i="43"/>
  <c r="AZ60" i="43"/>
  <c r="AZ64" i="43"/>
  <c r="AU64" i="43"/>
  <c r="AU63" i="43"/>
  <c r="AU60" i="43"/>
  <c r="AU65" i="43" l="1"/>
  <c r="AZ65" i="43"/>
  <c r="M52" i="43" l="1"/>
  <c r="C52" i="43" s="1"/>
  <c r="D52" i="43" s="1"/>
  <c r="M40" i="43" l="1"/>
  <c r="AZ40" i="43" s="1"/>
  <c r="AZ41" i="43" s="1"/>
  <c r="C40" i="43" l="1"/>
  <c r="D40" i="43" s="1"/>
  <c r="M61" i="43"/>
  <c r="C61" i="43" s="1"/>
  <c r="D61" i="43" s="1"/>
  <c r="AU40" i="43"/>
  <c r="AU61" i="43" s="1"/>
  <c r="M41" i="43"/>
  <c r="M50" i="43" s="1"/>
  <c r="C50" i="43" s="1"/>
  <c r="AZ36" i="43"/>
  <c r="AW36" i="43" s="1"/>
  <c r="AX36" i="43" s="1"/>
  <c r="AZ50" i="43"/>
  <c r="AZ61" i="43"/>
  <c r="C41" i="43" l="1"/>
  <c r="D41" i="43" s="1"/>
  <c r="AU41" i="43"/>
  <c r="AU50" i="43" s="1"/>
  <c r="N52" i="43" l="1"/>
  <c r="BA52" i="43" l="1"/>
  <c r="AW52" i="43" s="1"/>
  <c r="AX52" i="43" s="1"/>
  <c r="N40" i="43" l="1"/>
  <c r="N41" i="43" s="1"/>
  <c r="N61" i="43" l="1"/>
  <c r="N50" i="43"/>
  <c r="O52" i="43" l="1"/>
  <c r="AV52" i="43" s="1"/>
  <c r="O40" i="43" l="1"/>
  <c r="BJ54" i="34" l="1"/>
  <c r="BK54" i="34"/>
  <c r="BK45" i="34" l="1"/>
  <c r="BJ35" i="34" l="1"/>
  <c r="BK35" i="34"/>
  <c r="P52" i="43" l="1"/>
  <c r="BJ16" i="40" l="1"/>
  <c r="BK16" i="40"/>
  <c r="BJ38" i="40" l="1"/>
  <c r="BJ37" i="40"/>
  <c r="BJ40" i="40"/>
  <c r="BJ60" i="40"/>
  <c r="BJ36" i="40"/>
  <c r="BJ43" i="40"/>
  <c r="BJ42" i="40"/>
  <c r="BJ39" i="40"/>
  <c r="BJ41" i="40"/>
  <c r="BK60" i="40"/>
  <c r="BK61" i="40"/>
  <c r="BK62" i="40"/>
  <c r="BK36" i="40"/>
  <c r="BK37" i="40"/>
  <c r="BK38" i="40"/>
  <c r="BK39" i="40"/>
  <c r="BK40" i="40"/>
  <c r="BK41" i="40"/>
  <c r="BK42" i="40"/>
  <c r="Q22" i="43" l="1"/>
  <c r="BK17" i="38"/>
  <c r="BJ17" i="38"/>
  <c r="BJ35" i="38" s="1"/>
  <c r="Y17" i="43"/>
  <c r="Q40" i="43" l="1"/>
  <c r="Y19" i="43"/>
  <c r="S17" i="43"/>
  <c r="BD17" i="43"/>
  <c r="R17" i="43"/>
  <c r="BA22" i="43"/>
  <c r="Q47" i="43"/>
  <c r="AV22" i="43"/>
  <c r="AV34" i="43" s="1"/>
  <c r="Q34" i="43"/>
  <c r="AW22" i="43" l="1"/>
  <c r="AX22" i="43" s="1"/>
  <c r="BA34" i="43"/>
  <c r="AW34" i="43" s="1"/>
  <c r="AX34" i="43" s="1"/>
  <c r="S19" i="43"/>
  <c r="S43" i="43"/>
  <c r="R19" i="43"/>
  <c r="R43" i="43"/>
  <c r="Q59" i="43"/>
  <c r="Q48" i="43"/>
  <c r="Q35" i="43"/>
  <c r="BD43" i="43"/>
  <c r="BD19" i="43"/>
  <c r="AV40" i="43"/>
  <c r="BA40" i="43"/>
  <c r="AW40" i="43" s="1"/>
  <c r="AX40" i="43" s="1"/>
  <c r="BM73" i="42"/>
  <c r="BJ73" i="42"/>
  <c r="BN68" i="42"/>
  <c r="BN73" i="42" s="1"/>
  <c r="BL62" i="42"/>
  <c r="BL58" i="42"/>
  <c r="BK58" i="42"/>
  <c r="BK62" i="42" s="1"/>
  <c r="BJ58" i="42"/>
  <c r="BJ62" i="42" s="1"/>
  <c r="BJ37" i="42"/>
  <c r="BM18" i="42"/>
  <c r="BL18" i="42"/>
  <c r="BK18" i="42"/>
  <c r="BJ18" i="42"/>
  <c r="BM16" i="42"/>
  <c r="BL16" i="42"/>
  <c r="BK16" i="42"/>
  <c r="BJ16" i="42"/>
  <c r="BL15" i="42"/>
  <c r="BK15" i="42"/>
  <c r="BJ15" i="42"/>
  <c r="BN73" i="40"/>
  <c r="BL58" i="40"/>
  <c r="BK58" i="40"/>
  <c r="BJ58" i="40"/>
  <c r="BL37" i="40"/>
  <c r="BL36" i="40"/>
  <c r="BK32" i="40"/>
  <c r="BJ32" i="40"/>
  <c r="Y14" i="43" l="1"/>
  <c r="Y15" i="43" s="1"/>
  <c r="Q64" i="43"/>
  <c r="AV59" i="43"/>
  <c r="Q63" i="43"/>
  <c r="Q60" i="43"/>
  <c r="BA59" i="43"/>
  <c r="AW59" i="43" s="1"/>
  <c r="AX59" i="43" s="1"/>
  <c r="S34" i="43"/>
  <c r="S46" i="43"/>
  <c r="S45" i="43"/>
  <c r="R34" i="43"/>
  <c r="R46" i="43"/>
  <c r="R45" i="43"/>
  <c r="BD45" i="43"/>
  <c r="BD46" i="43"/>
  <c r="BD34" i="43"/>
  <c r="Q49" i="43"/>
  <c r="Q41" i="43"/>
  <c r="Q50" i="43" s="1"/>
  <c r="BJ19" i="42"/>
  <c r="BK19" i="42"/>
  <c r="BL19" i="42"/>
  <c r="O14" i="43" l="1"/>
  <c r="O15" i="43" s="1"/>
  <c r="Y44" i="43"/>
  <c r="Y58" i="43"/>
  <c r="Y43" i="43"/>
  <c r="Y45" i="43"/>
  <c r="Y46" i="43"/>
  <c r="BD35" i="43"/>
  <c r="BD48" i="43"/>
  <c r="Q61" i="43"/>
  <c r="Q65" i="43"/>
  <c r="S35" i="43"/>
  <c r="S48" i="43"/>
  <c r="S59" i="43"/>
  <c r="R35" i="43"/>
  <c r="R48" i="43"/>
  <c r="R59" i="43"/>
  <c r="P14" i="43"/>
  <c r="P15" i="43" s="1"/>
  <c r="BJ60" i="42"/>
  <c r="BJ45" i="42"/>
  <c r="BJ40" i="42"/>
  <c r="BJ43" i="42"/>
  <c r="BJ41" i="42"/>
  <c r="BJ44" i="42"/>
  <c r="BJ42" i="42"/>
  <c r="BJ36" i="42"/>
  <c r="BK41" i="42"/>
  <c r="BK40" i="42"/>
  <c r="BK36" i="42"/>
  <c r="BL40" i="42"/>
  <c r="BL36" i="42"/>
  <c r="BL41" i="42"/>
  <c r="S60" i="43" l="1"/>
  <c r="S64" i="43"/>
  <c r="S63" i="43"/>
  <c r="S41" i="43"/>
  <c r="S50" i="43" s="1"/>
  <c r="S49" i="43"/>
  <c r="AV14" i="43"/>
  <c r="AV15" i="43" s="1"/>
  <c r="AV35" i="43" s="1"/>
  <c r="BA14" i="43"/>
  <c r="BA15" i="43" s="1"/>
  <c r="R41" i="43"/>
  <c r="R50" i="43" s="1"/>
  <c r="R49" i="43"/>
  <c r="R60" i="43"/>
  <c r="R64" i="43"/>
  <c r="R63" i="43"/>
  <c r="BD49" i="43"/>
  <c r="BD41" i="43"/>
  <c r="BD50" i="43" s="1"/>
  <c r="O47" i="43"/>
  <c r="O44" i="43"/>
  <c r="O43" i="43"/>
  <c r="O58" i="43"/>
  <c r="O46" i="43"/>
  <c r="O45" i="43"/>
  <c r="O48" i="43"/>
  <c r="O35" i="43"/>
  <c r="P58" i="43"/>
  <c r="P43" i="43"/>
  <c r="P47" i="43"/>
  <c r="P45" i="43"/>
  <c r="P44" i="43"/>
  <c r="P46" i="43"/>
  <c r="P48" i="43"/>
  <c r="P35" i="43"/>
  <c r="BJ38" i="42"/>
  <c r="BJ47" i="42" s="1"/>
  <c r="BJ46" i="42"/>
  <c r="AV48" i="43" l="1"/>
  <c r="AV46" i="43"/>
  <c r="AW14" i="43"/>
  <c r="AX14" i="43" s="1"/>
  <c r="AV47" i="43"/>
  <c r="AV43" i="43"/>
  <c r="AV44" i="43"/>
  <c r="R61" i="43"/>
  <c r="R65" i="43"/>
  <c r="AV45" i="43"/>
  <c r="S61" i="43"/>
  <c r="S65" i="43"/>
  <c r="AV58" i="43"/>
  <c r="BA58" i="43"/>
  <c r="O63" i="43"/>
  <c r="O64" i="43"/>
  <c r="O60" i="43"/>
  <c r="P41" i="43"/>
  <c r="P50" i="43" s="1"/>
  <c r="P49" i="43"/>
  <c r="AV49" i="43"/>
  <c r="AV41" i="43"/>
  <c r="AV50" i="43" s="1"/>
  <c r="O41" i="43"/>
  <c r="O50" i="43" s="1"/>
  <c r="O49" i="43"/>
  <c r="BA47" i="43"/>
  <c r="AW47" i="43" s="1"/>
  <c r="BA43" i="43"/>
  <c r="AW43" i="43" s="1"/>
  <c r="BA44" i="43"/>
  <c r="AW44" i="43" s="1"/>
  <c r="BA46" i="43"/>
  <c r="AW46" i="43" s="1"/>
  <c r="BA45" i="43"/>
  <c r="AW45" i="43" s="1"/>
  <c r="BA48" i="43"/>
  <c r="AW48" i="43" s="1"/>
  <c r="BA35" i="43"/>
  <c r="AW15" i="43"/>
  <c r="AX15" i="43" s="1"/>
  <c r="P64" i="43"/>
  <c r="P60" i="43"/>
  <c r="P63" i="43"/>
  <c r="BA60" i="43" l="1"/>
  <c r="O65" i="43"/>
  <c r="O61" i="43"/>
  <c r="BA41" i="43"/>
  <c r="BA49" i="43"/>
  <c r="AW49" i="43" s="1"/>
  <c r="AW35" i="43"/>
  <c r="AX35" i="43" s="1"/>
  <c r="AW58" i="43"/>
  <c r="AX58" i="43" s="1"/>
  <c r="BA64" i="43"/>
  <c r="AW64" i="43" s="1"/>
  <c r="BA63" i="43"/>
  <c r="AW63" i="43" s="1"/>
  <c r="P65" i="43"/>
  <c r="P61" i="43"/>
  <c r="AV63" i="43"/>
  <c r="AV60" i="43"/>
  <c r="AV64" i="43"/>
  <c r="AV61" i="43" l="1"/>
  <c r="AV65" i="43"/>
  <c r="BA50" i="43"/>
  <c r="AW50" i="43" s="1"/>
  <c r="AW41" i="43"/>
  <c r="AX41" i="43" s="1"/>
  <c r="BA61" i="43"/>
  <c r="AW61" i="43" s="1"/>
  <c r="AX61" i="43" s="1"/>
  <c r="BA65" i="43"/>
  <c r="AW65" i="43" s="1"/>
  <c r="AW60" i="43"/>
  <c r="AX60" i="43" s="1"/>
  <c r="M19" i="39" l="1"/>
  <c r="J67" i="39"/>
  <c r="K67" i="39"/>
  <c r="I67" i="39"/>
  <c r="O15" i="39"/>
  <c r="P15" i="39"/>
  <c r="Q15" i="39"/>
  <c r="Q82" i="39"/>
  <c r="P82" i="39"/>
  <c r="O82" i="39"/>
  <c r="N82" i="39"/>
  <c r="M82" i="39"/>
  <c r="L82" i="39"/>
  <c r="K82" i="39"/>
  <c r="J82" i="39"/>
  <c r="I82" i="39"/>
  <c r="H82" i="39"/>
  <c r="G82" i="39"/>
  <c r="F82" i="39"/>
  <c r="AS81" i="39"/>
  <c r="AR81" i="39"/>
  <c r="AN81" i="39"/>
  <c r="AM81" i="39"/>
  <c r="AS80" i="39"/>
  <c r="AR80" i="39"/>
  <c r="AN80" i="39"/>
  <c r="AM80" i="39"/>
  <c r="AS79" i="39"/>
  <c r="AR79" i="39"/>
  <c r="AN79" i="39"/>
  <c r="AM79" i="39"/>
  <c r="AS78" i="39"/>
  <c r="AR78" i="39"/>
  <c r="AN78" i="39"/>
  <c r="AM78" i="39"/>
  <c r="AS77" i="39"/>
  <c r="AR77" i="39"/>
  <c r="AN77" i="39"/>
  <c r="AM77" i="39"/>
  <c r="AS76" i="39"/>
  <c r="AR76" i="39"/>
  <c r="AN76" i="39"/>
  <c r="AM76" i="39"/>
  <c r="S66" i="39"/>
  <c r="S71" i="39" s="1"/>
  <c r="R65" i="39"/>
  <c r="U64" i="39"/>
  <c r="T64" i="39"/>
  <c r="T69" i="39" s="1"/>
  <c r="S64" i="39"/>
  <c r="S69" i="39" s="1"/>
  <c r="R64" i="39"/>
  <c r="K64" i="39"/>
  <c r="AR38" i="39"/>
  <c r="AR37" i="39"/>
  <c r="AN37" i="39"/>
  <c r="AM37" i="39"/>
  <c r="I37" i="39"/>
  <c r="AR36" i="39"/>
  <c r="AR35" i="39"/>
  <c r="AR34" i="39"/>
  <c r="AR33" i="39"/>
  <c r="S32" i="39"/>
  <c r="U31" i="39"/>
  <c r="T31" i="39"/>
  <c r="S31" i="39"/>
  <c r="S65" i="39" s="1"/>
  <c r="R31" i="39"/>
  <c r="P65" i="39"/>
  <c r="O65" i="39"/>
  <c r="N65" i="39"/>
  <c r="F31" i="39"/>
  <c r="AR30" i="39"/>
  <c r="AN30" i="39"/>
  <c r="AM30" i="39"/>
  <c r="AR29" i="39"/>
  <c r="AO29" i="39" s="1"/>
  <c r="AN29" i="39"/>
  <c r="AM29" i="39"/>
  <c r="AR28" i="39"/>
  <c r="AN28" i="39"/>
  <c r="AM28" i="39"/>
  <c r="AR27" i="39"/>
  <c r="AN27" i="39"/>
  <c r="AM27" i="39"/>
  <c r="AR26" i="39"/>
  <c r="AN26" i="39"/>
  <c r="AM26" i="39"/>
  <c r="AR25" i="39"/>
  <c r="AN25" i="39"/>
  <c r="AM25" i="39"/>
  <c r="AR24" i="39"/>
  <c r="AO24" i="39" s="1"/>
  <c r="AP24" i="39" s="1"/>
  <c r="AN24" i="39"/>
  <c r="AM24" i="39"/>
  <c r="AR23" i="39"/>
  <c r="AO23" i="39" s="1"/>
  <c r="AP23" i="39" s="1"/>
  <c r="AN23" i="39"/>
  <c r="AM23" i="39"/>
  <c r="AR22" i="39"/>
  <c r="AN22" i="39"/>
  <c r="AM22" i="39"/>
  <c r="AR21" i="39"/>
  <c r="AO21" i="39" s="1"/>
  <c r="AP21" i="39" s="1"/>
  <c r="AN21" i="39"/>
  <c r="AM21" i="39"/>
  <c r="AR20" i="39"/>
  <c r="AO20" i="39" s="1"/>
  <c r="AP20" i="39" s="1"/>
  <c r="AN20" i="39"/>
  <c r="AM20" i="39"/>
  <c r="AN19" i="39"/>
  <c r="J19" i="39"/>
  <c r="I19" i="39"/>
  <c r="I31" i="39" s="1"/>
  <c r="I65" i="39" s="1"/>
  <c r="I69" i="39" s="1"/>
  <c r="H19" i="39"/>
  <c r="G19" i="39"/>
  <c r="G31" i="39" s="1"/>
  <c r="F19" i="39"/>
  <c r="AN18" i="39"/>
  <c r="AM18" i="39"/>
  <c r="AN17" i="39"/>
  <c r="N15" i="39"/>
  <c r="N64" i="39" s="1"/>
  <c r="M15" i="39"/>
  <c r="L15" i="39"/>
  <c r="K15" i="39"/>
  <c r="J15" i="39"/>
  <c r="J64" i="39" s="1"/>
  <c r="I15" i="39"/>
  <c r="H15" i="39"/>
  <c r="G15" i="39"/>
  <c r="F15" i="39"/>
  <c r="AR14" i="39"/>
  <c r="AO14" i="39" s="1"/>
  <c r="AN14" i="39"/>
  <c r="AM14" i="39"/>
  <c r="AM15" i="39" s="1"/>
  <c r="AO79" i="39" l="1"/>
  <c r="AP79" i="39" s="1"/>
  <c r="AM82" i="39"/>
  <c r="AO27" i="39"/>
  <c r="AP27" i="39" s="1"/>
  <c r="AO26" i="39"/>
  <c r="AP26" i="39" s="1"/>
  <c r="AN82" i="39"/>
  <c r="AO77" i="39"/>
  <c r="AP77" i="39" s="1"/>
  <c r="P64" i="39"/>
  <c r="P70" i="39" s="1"/>
  <c r="AR82" i="39"/>
  <c r="AO82" i="39" s="1"/>
  <c r="AP82" i="39" s="1"/>
  <c r="K19" i="39"/>
  <c r="K31" i="39" s="1"/>
  <c r="K32" i="39" s="1"/>
  <c r="AO28" i="39"/>
  <c r="AP28" i="39" s="1"/>
  <c r="S70" i="39"/>
  <c r="AO37" i="39"/>
  <c r="AP37" i="39" s="1"/>
  <c r="R66" i="39"/>
  <c r="AO76" i="39"/>
  <c r="AP76" i="39" s="1"/>
  <c r="AO80" i="39"/>
  <c r="AP80" i="39" s="1"/>
  <c r="F32" i="39"/>
  <c r="F39" i="39" s="1"/>
  <c r="U65" i="39"/>
  <c r="U70" i="39" s="1"/>
  <c r="AO81" i="39"/>
  <c r="AP81" i="39" s="1"/>
  <c r="H31" i="39"/>
  <c r="R32" i="39"/>
  <c r="R39" i="39" s="1"/>
  <c r="AO25" i="39"/>
  <c r="AP25" i="39" s="1"/>
  <c r="U32" i="39"/>
  <c r="AO22" i="39"/>
  <c r="AP22" i="39" s="1"/>
  <c r="AO78" i="39"/>
  <c r="AP78" i="39" s="1"/>
  <c r="AS82" i="39"/>
  <c r="G32" i="39"/>
  <c r="R67" i="39"/>
  <c r="R71" i="39"/>
  <c r="Q64" i="39"/>
  <c r="S67" i="39"/>
  <c r="AM17" i="39"/>
  <c r="T65" i="39"/>
  <c r="T32" i="39"/>
  <c r="U66" i="39"/>
  <c r="U71" i="39" s="1"/>
  <c r="U69" i="39"/>
  <c r="S39" i="39"/>
  <c r="Q65" i="39"/>
  <c r="Q70" i="39" s="1"/>
  <c r="P69" i="39"/>
  <c r="I32" i="39"/>
  <c r="I64" i="39"/>
  <c r="I70" i="39" s="1"/>
  <c r="AN15" i="39"/>
  <c r="AR15" i="39"/>
  <c r="J31" i="39"/>
  <c r="AR17" i="39"/>
  <c r="L19" i="39"/>
  <c r="N70" i="39"/>
  <c r="AN31" i="39"/>
  <c r="M64" i="39"/>
  <c r="R70" i="39"/>
  <c r="AR18" i="39"/>
  <c r="L64" i="39"/>
  <c r="N69" i="39"/>
  <c r="N66" i="39"/>
  <c r="O64" i="39"/>
  <c r="AS64" i="39" s="1"/>
  <c r="R69" i="39"/>
  <c r="BQ73" i="38"/>
  <c r="BP73" i="38"/>
  <c r="BO73" i="38"/>
  <c r="BB78" i="43"/>
  <c r="BL68" i="38"/>
  <c r="BK68" i="38"/>
  <c r="BJ68" i="38"/>
  <c r="BC75" i="43"/>
  <c r="BB75" i="43"/>
  <c r="BC74" i="43"/>
  <c r="BB74" i="43"/>
  <c r="BC73" i="43"/>
  <c r="BB73" i="43"/>
  <c r="BM64" i="38"/>
  <c r="BC72" i="43"/>
  <c r="BB72" i="43"/>
  <c r="BN63" i="38"/>
  <c r="BN68" i="38" s="1"/>
  <c r="BM63" i="38"/>
  <c r="BC71" i="43"/>
  <c r="BB71" i="43"/>
  <c r="BC70" i="43"/>
  <c r="BB70" i="43"/>
  <c r="BN55" i="38"/>
  <c r="BM55" i="38"/>
  <c r="BL55" i="38"/>
  <c r="BK55" i="38"/>
  <c r="BL50" i="38"/>
  <c r="BK50" i="38"/>
  <c r="BJ50" i="38"/>
  <c r="BD58" i="43"/>
  <c r="BN39" i="38"/>
  <c r="BM39" i="38"/>
  <c r="BN38" i="38"/>
  <c r="BM38" i="38"/>
  <c r="BL38" i="38"/>
  <c r="BK38" i="38"/>
  <c r="BN37" i="38"/>
  <c r="BM37" i="38"/>
  <c r="BL37" i="38"/>
  <c r="BK37" i="38"/>
  <c r="BK36" i="38"/>
  <c r="BO30" i="38"/>
  <c r="BN30" i="38"/>
  <c r="BM30" i="38"/>
  <c r="BL30" i="38"/>
  <c r="BL40" i="38" s="1"/>
  <c r="BK30" i="38"/>
  <c r="BJ30" i="38"/>
  <c r="BC30" i="43"/>
  <c r="BC29" i="43"/>
  <c r="BB29" i="43"/>
  <c r="BC28" i="43"/>
  <c r="BB28" i="43"/>
  <c r="BC27" i="43"/>
  <c r="BB27" i="43"/>
  <c r="BC26" i="43"/>
  <c r="BB26" i="43"/>
  <c r="BC25" i="43"/>
  <c r="BB25" i="43"/>
  <c r="BC24" i="43"/>
  <c r="BB24" i="43"/>
  <c r="BC23" i="43"/>
  <c r="BB23" i="43"/>
  <c r="BC22" i="43"/>
  <c r="BB22" i="43"/>
  <c r="BC20" i="43"/>
  <c r="BB20" i="43"/>
  <c r="BL17" i="38"/>
  <c r="BK35" i="38"/>
  <c r="BO15" i="38"/>
  <c r="BL14" i="38"/>
  <c r="BL36" i="38" s="1"/>
  <c r="BQ70" i="37"/>
  <c r="BP70" i="37"/>
  <c r="BO70" i="37"/>
  <c r="BL67" i="37"/>
  <c r="BK67" i="37"/>
  <c r="BJ67" i="37"/>
  <c r="BM63" i="37"/>
  <c r="BN62" i="37"/>
  <c r="BN67" i="37" s="1"/>
  <c r="BM62" i="37"/>
  <c r="BN54" i="37"/>
  <c r="BM54" i="37"/>
  <c r="BP39" i="37"/>
  <c r="BN39" i="37"/>
  <c r="BM39" i="37"/>
  <c r="BN38" i="37"/>
  <c r="BM38" i="37"/>
  <c r="BN37" i="37"/>
  <c r="BM37" i="37"/>
  <c r="BO31" i="37"/>
  <c r="BN31" i="37"/>
  <c r="BN41" i="37" s="1"/>
  <c r="BM31" i="37"/>
  <c r="BM41" i="37" s="1"/>
  <c r="BO30" i="37"/>
  <c r="BN30" i="37"/>
  <c r="BN55" i="37" s="1"/>
  <c r="BM30" i="37"/>
  <c r="BL30" i="37"/>
  <c r="BJ30" i="37"/>
  <c r="BJ40" i="37" s="1"/>
  <c r="BO14" i="37"/>
  <c r="BO54" i="37" s="1"/>
  <c r="BL14" i="37"/>
  <c r="BL39" i="37" s="1"/>
  <c r="BK14" i="37"/>
  <c r="BJ14" i="37"/>
  <c r="BQ73" i="36"/>
  <c r="BL68" i="36"/>
  <c r="BM64" i="36"/>
  <c r="BN63" i="36"/>
  <c r="BN68" i="36" s="1"/>
  <c r="BM63" i="36"/>
  <c r="BN55" i="36"/>
  <c r="BM55" i="36"/>
  <c r="BL55" i="36"/>
  <c r="BN39" i="36"/>
  <c r="BM39" i="36"/>
  <c r="BL39" i="36"/>
  <c r="BN38" i="36"/>
  <c r="BM38" i="36"/>
  <c r="BL38" i="36"/>
  <c r="BN37" i="36"/>
  <c r="BM37" i="36"/>
  <c r="BL37" i="36"/>
  <c r="BL36" i="36"/>
  <c r="BL35" i="36"/>
  <c r="BO31" i="36"/>
  <c r="BN31" i="36"/>
  <c r="BN32" i="36" s="1"/>
  <c r="BM31" i="36"/>
  <c r="BM40" i="36" s="1"/>
  <c r="BL31" i="36"/>
  <c r="BL40" i="36" s="1"/>
  <c r="BO15" i="36"/>
  <c r="BO38" i="36" s="1"/>
  <c r="BJ36" i="37" l="1"/>
  <c r="BJ35" i="37"/>
  <c r="BJ39" i="37"/>
  <c r="BJ37" i="37"/>
  <c r="BJ38" i="37"/>
  <c r="BB47" i="43"/>
  <c r="BC18" i="43"/>
  <c r="BC44" i="43" s="1"/>
  <c r="BC47" i="43"/>
  <c r="Y30" i="43"/>
  <c r="BB76" i="43"/>
  <c r="BJ51" i="38"/>
  <c r="BJ52" i="38" s="1"/>
  <c r="BJ57" i="38" s="1"/>
  <c r="BJ39" i="38"/>
  <c r="BJ40" i="38"/>
  <c r="BB18" i="43"/>
  <c r="BB44" i="43" s="1"/>
  <c r="BC76" i="43"/>
  <c r="BK54" i="37"/>
  <c r="BK36" i="37"/>
  <c r="BK35" i="37"/>
  <c r="BO39" i="36"/>
  <c r="BM68" i="36"/>
  <c r="BO40" i="36"/>
  <c r="BK33" i="38"/>
  <c r="BK41" i="38" s="1"/>
  <c r="BK51" i="38"/>
  <c r="BK52" i="38" s="1"/>
  <c r="BJ31" i="37"/>
  <c r="BJ41" i="37" s="1"/>
  <c r="BL40" i="37"/>
  <c r="BL38" i="37"/>
  <c r="BN51" i="37"/>
  <c r="BN56" i="37" s="1"/>
  <c r="BK49" i="37"/>
  <c r="BK55" i="37" s="1"/>
  <c r="BK38" i="37"/>
  <c r="BK37" i="37"/>
  <c r="BK39" i="37"/>
  <c r="BM67" i="37"/>
  <c r="BL37" i="37"/>
  <c r="BJ49" i="37"/>
  <c r="BJ51" i="37" s="1"/>
  <c r="BJ52" i="37" s="1"/>
  <c r="BL51" i="36"/>
  <c r="BL52" i="36" s="1"/>
  <c r="BL57" i="36" s="1"/>
  <c r="BO37" i="37"/>
  <c r="BO38" i="37"/>
  <c r="BN40" i="37"/>
  <c r="BO49" i="37"/>
  <c r="BL35" i="38"/>
  <c r="BM68" i="38"/>
  <c r="BC58" i="43"/>
  <c r="BK40" i="38"/>
  <c r="BL31" i="38"/>
  <c r="BJ33" i="38"/>
  <c r="BJ41" i="38" s="1"/>
  <c r="BL51" i="38"/>
  <c r="BL52" i="38" s="1"/>
  <c r="BL57" i="38" s="1"/>
  <c r="BL33" i="38"/>
  <c r="BL41" i="38" s="1"/>
  <c r="BJ31" i="38"/>
  <c r="BL39" i="38"/>
  <c r="BK31" i="38"/>
  <c r="K65" i="39"/>
  <c r="K66" i="39" s="1"/>
  <c r="K71" i="39" s="1"/>
  <c r="AS65" i="39"/>
  <c r="AS66" i="39" s="1"/>
  <c r="P66" i="39"/>
  <c r="P67" i="39" s="1"/>
  <c r="O70" i="39"/>
  <c r="U39" i="39"/>
  <c r="AM64" i="39"/>
  <c r="H32" i="39"/>
  <c r="AS69" i="39"/>
  <c r="M31" i="39"/>
  <c r="J65" i="39"/>
  <c r="N71" i="39"/>
  <c r="N67" i="39"/>
  <c r="J32" i="39"/>
  <c r="L31" i="39"/>
  <c r="AN32" i="39"/>
  <c r="AM19" i="39"/>
  <c r="T39" i="39"/>
  <c r="Q69" i="39"/>
  <c r="Q66" i="39"/>
  <c r="AO18" i="39"/>
  <c r="AP18" i="39" s="1"/>
  <c r="K39" i="39"/>
  <c r="G39" i="39"/>
  <c r="O66" i="39"/>
  <c r="AN64" i="39"/>
  <c r="O69" i="39"/>
  <c r="AO17" i="39"/>
  <c r="AP17" i="39" s="1"/>
  <c r="AR19" i="39"/>
  <c r="T70" i="39"/>
  <c r="T66" i="39"/>
  <c r="AO15" i="39"/>
  <c r="AP15" i="39" s="1"/>
  <c r="M69" i="39"/>
  <c r="I66" i="39"/>
  <c r="AR64" i="39"/>
  <c r="I39" i="39"/>
  <c r="AN65" i="39"/>
  <c r="BM40" i="38"/>
  <c r="BM31" i="38"/>
  <c r="BM33" i="38" s="1"/>
  <c r="BM41" i="38" s="1"/>
  <c r="BM51" i="38"/>
  <c r="BO50" i="38"/>
  <c r="BO31" i="38"/>
  <c r="BO33" i="38" s="1"/>
  <c r="BO41" i="38" s="1"/>
  <c r="BO40" i="38"/>
  <c r="BO51" i="38"/>
  <c r="BO55" i="38"/>
  <c r="BO37" i="38"/>
  <c r="BO38" i="38"/>
  <c r="BB58" i="43"/>
  <c r="BN40" i="38"/>
  <c r="BN51" i="38"/>
  <c r="BN31" i="38"/>
  <c r="BN33" i="38" s="1"/>
  <c r="BN41" i="38" s="1"/>
  <c r="BO39" i="38"/>
  <c r="BK39" i="38"/>
  <c r="BO50" i="36"/>
  <c r="BO51" i="36"/>
  <c r="BO37" i="36"/>
  <c r="BL32" i="36"/>
  <c r="BL41" i="36" s="1"/>
  <c r="BO55" i="36"/>
  <c r="BO32" i="36"/>
  <c r="BK30" i="37"/>
  <c r="BK40" i="37" s="1"/>
  <c r="BM40" i="37"/>
  <c r="BK51" i="37"/>
  <c r="BO40" i="37"/>
  <c r="BL54" i="37"/>
  <c r="BL31" i="37"/>
  <c r="BL41" i="37" s="1"/>
  <c r="BL49" i="37"/>
  <c r="BO39" i="37"/>
  <c r="BO41" i="37"/>
  <c r="BN41" i="36"/>
  <c r="BN33" i="36"/>
  <c r="BN42" i="36" s="1"/>
  <c r="BN40" i="36"/>
  <c r="BM51" i="36"/>
  <c r="BN51" i="36"/>
  <c r="BM32" i="36"/>
  <c r="BC17" i="43" l="1"/>
  <c r="BD61" i="43"/>
  <c r="BD59" i="43"/>
  <c r="Y47" i="43"/>
  <c r="Y34" i="43"/>
  <c r="BJ56" i="38"/>
  <c r="BJ55" i="38"/>
  <c r="BC59" i="43"/>
  <c r="BL56" i="36"/>
  <c r="BK56" i="37"/>
  <c r="BK52" i="37"/>
  <c r="BL55" i="37"/>
  <c r="BJ33" i="37"/>
  <c r="BK57" i="38"/>
  <c r="BK53" i="38"/>
  <c r="BJ53" i="38"/>
  <c r="BL33" i="36"/>
  <c r="BL42" i="36" s="1"/>
  <c r="BO52" i="36"/>
  <c r="BO57" i="36" s="1"/>
  <c r="BO55" i="37"/>
  <c r="BL51" i="37"/>
  <c r="BL56" i="37" s="1"/>
  <c r="BK56" i="38"/>
  <c r="BL56" i="38"/>
  <c r="BO52" i="38"/>
  <c r="BO57" i="38" s="1"/>
  <c r="K70" i="39"/>
  <c r="K69" i="39"/>
  <c r="P71" i="39"/>
  <c r="AS70" i="39"/>
  <c r="H39" i="39"/>
  <c r="O67" i="39"/>
  <c r="O71" i="39"/>
  <c r="T71" i="39"/>
  <c r="J39" i="39"/>
  <c r="AO64" i="39"/>
  <c r="AP64" i="39" s="1"/>
  <c r="AR69" i="39"/>
  <c r="AO69" i="39" s="1"/>
  <c r="Q71" i="39"/>
  <c r="Q67" i="39"/>
  <c r="AN39" i="39"/>
  <c r="M65" i="39"/>
  <c r="M32" i="39"/>
  <c r="AN66" i="39"/>
  <c r="AN69" i="39"/>
  <c r="J70" i="39"/>
  <c r="J69" i="39"/>
  <c r="J66" i="39"/>
  <c r="I71" i="39"/>
  <c r="AR31" i="39"/>
  <c r="AO19" i="39"/>
  <c r="AP19" i="39" s="1"/>
  <c r="L65" i="39"/>
  <c r="L32" i="39"/>
  <c r="AM31" i="39"/>
  <c r="AN70" i="39"/>
  <c r="AS71" i="39"/>
  <c r="AS67" i="39"/>
  <c r="BN56" i="38"/>
  <c r="BN52" i="38"/>
  <c r="BN57" i="38" s="1"/>
  <c r="BO56" i="38"/>
  <c r="BM56" i="38"/>
  <c r="BM52" i="38"/>
  <c r="BM57" i="38" s="1"/>
  <c r="BO56" i="36"/>
  <c r="BO33" i="36"/>
  <c r="BO42" i="36" s="1"/>
  <c r="BO41" i="36"/>
  <c r="BM51" i="37"/>
  <c r="BM56" i="37" s="1"/>
  <c r="BM55" i="37"/>
  <c r="BO51" i="37"/>
  <c r="BO56" i="37" s="1"/>
  <c r="BK31" i="37"/>
  <c r="BK41" i="37" s="1"/>
  <c r="BN56" i="36"/>
  <c r="BN52" i="36"/>
  <c r="BN57" i="36" s="1"/>
  <c r="BM52" i="36"/>
  <c r="BM57" i="36" s="1"/>
  <c r="BM56" i="36"/>
  <c r="BM33" i="36"/>
  <c r="BM42" i="36" s="1"/>
  <c r="BM41" i="36"/>
  <c r="BD64" i="43" l="1"/>
  <c r="BD63" i="43"/>
  <c r="BC64" i="43"/>
  <c r="Y48" i="43"/>
  <c r="Y59" i="43"/>
  <c r="Y35" i="43"/>
  <c r="BC19" i="43"/>
  <c r="BC63" i="43" s="1"/>
  <c r="BC43" i="43"/>
  <c r="BD60" i="43"/>
  <c r="BD65" i="43" s="1"/>
  <c r="BK33" i="37"/>
  <c r="J71" i="39"/>
  <c r="M70" i="39"/>
  <c r="M66" i="39"/>
  <c r="M67" i="39" s="1"/>
  <c r="AO31" i="39"/>
  <c r="AP31" i="39" s="1"/>
  <c r="AR32" i="39"/>
  <c r="L39" i="39"/>
  <c r="AN71" i="39"/>
  <c r="AN67" i="39"/>
  <c r="L69" i="39"/>
  <c r="L70" i="39"/>
  <c r="L66" i="39"/>
  <c r="L67" i="39" s="1"/>
  <c r="AM65" i="39"/>
  <c r="M39" i="39"/>
  <c r="AM32" i="39"/>
  <c r="AR65" i="39"/>
  <c r="BC60" i="43" l="1"/>
  <c r="BC65" i="43" s="1"/>
  <c r="BB17" i="43"/>
  <c r="BC45" i="43"/>
  <c r="BC46" i="43"/>
  <c r="BC34" i="43"/>
  <c r="Y41" i="43"/>
  <c r="Y50" i="43" s="1"/>
  <c r="Y49" i="43"/>
  <c r="Y60" i="43"/>
  <c r="Y63" i="43"/>
  <c r="Y64" i="43"/>
  <c r="BC61" i="43"/>
  <c r="AR67" i="39"/>
  <c r="AO67" i="39" s="1"/>
  <c r="AP67" i="39" s="1"/>
  <c r="L71" i="39"/>
  <c r="AO65" i="39"/>
  <c r="AP65" i="39" s="1"/>
  <c r="AR70" i="39"/>
  <c r="AO70" i="39" s="1"/>
  <c r="AM39" i="39"/>
  <c r="M71" i="39"/>
  <c r="AM69" i="39"/>
  <c r="AM70" i="39"/>
  <c r="AM66" i="39"/>
  <c r="AR39" i="39"/>
  <c r="AO32" i="39"/>
  <c r="AP32" i="39" s="1"/>
  <c r="AR66" i="39"/>
  <c r="BB19" i="43" l="1"/>
  <c r="BB43" i="43"/>
  <c r="BC48" i="43"/>
  <c r="BC35" i="43"/>
  <c r="Y65" i="43"/>
  <c r="Y61" i="43"/>
  <c r="AO39" i="39"/>
  <c r="AP39" i="39" s="1"/>
  <c r="AM71" i="39"/>
  <c r="AM67" i="39"/>
  <c r="AO66" i="39"/>
  <c r="AP66" i="39" s="1"/>
  <c r="AR71" i="39"/>
  <c r="AO71" i="39" s="1"/>
  <c r="BB34" i="43" l="1"/>
  <c r="BB46" i="43"/>
  <c r="BB45" i="43"/>
  <c r="BC49" i="43"/>
  <c r="BC41" i="43"/>
  <c r="BC50" i="43" s="1"/>
  <c r="BB59" i="43"/>
  <c r="BB48" i="43" l="1"/>
  <c r="BB35" i="43"/>
  <c r="BB64" i="43"/>
  <c r="BB63" i="43"/>
  <c r="BB60" i="43" l="1"/>
  <c r="BB65" i="43" s="1"/>
  <c r="BB41" i="43"/>
  <c r="BB50" i="43" s="1"/>
  <c r="BB49" i="43"/>
  <c r="BB61" i="43"/>
  <c r="I40" i="13" l="1"/>
  <c r="C40" i="13" s="1"/>
  <c r="I40" i="33"/>
  <c r="C40" i="33"/>
  <c r="BJ31" i="12"/>
  <c r="I39" i="13" l="1"/>
  <c r="C39" i="33" l="1"/>
  <c r="C38" i="33"/>
  <c r="C38" i="15"/>
  <c r="AV41" i="15"/>
  <c r="AU41" i="15"/>
  <c r="AV42" i="33"/>
  <c r="Q42" i="33"/>
  <c r="P42" i="33"/>
  <c r="AV42" i="13"/>
  <c r="AU42" i="13"/>
  <c r="U42" i="13"/>
  <c r="V42" i="13"/>
  <c r="W42" i="13"/>
  <c r="X42" i="13"/>
  <c r="Y42" i="13"/>
  <c r="Z42" i="13"/>
  <c r="AA42" i="13"/>
  <c r="AB42" i="13"/>
  <c r="AC42" i="13"/>
  <c r="AD42" i="13"/>
  <c r="AE42" i="13"/>
  <c r="AF42" i="13"/>
  <c r="AG42" i="13"/>
  <c r="AH42" i="13"/>
  <c r="AI42" i="13"/>
  <c r="AJ42" i="13"/>
  <c r="AK42" i="13"/>
  <c r="I20" i="13"/>
  <c r="C39" i="13"/>
  <c r="I38" i="13"/>
  <c r="I38" i="33"/>
  <c r="I52" i="33"/>
  <c r="I51" i="15"/>
  <c r="C38" i="13"/>
  <c r="I37" i="15" l="1"/>
  <c r="I39" i="15" s="1"/>
  <c r="C39" i="15" s="1"/>
  <c r="I52" i="13"/>
  <c r="C37" i="15" l="1"/>
  <c r="C110" i="26" l="1"/>
  <c r="C112" i="26" s="1"/>
  <c r="E109" i="26"/>
  <c r="E117" i="26" s="1"/>
  <c r="D109" i="26"/>
  <c r="D110" i="26" s="1"/>
  <c r="D112" i="26" s="1"/>
  <c r="C109" i="26"/>
  <c r="C117" i="26" s="1"/>
  <c r="B109" i="26"/>
  <c r="B110" i="26" s="1"/>
  <c r="B112" i="26" s="1"/>
  <c r="I21" i="33" s="1"/>
  <c r="H13" i="13"/>
  <c r="F59" i="13"/>
  <c r="G59" i="13"/>
  <c r="H59" i="13"/>
  <c r="F75" i="13"/>
  <c r="G75" i="13"/>
  <c r="H75" i="13"/>
  <c r="I75" i="13"/>
  <c r="F13" i="13"/>
  <c r="G13" i="13"/>
  <c r="F14" i="13"/>
  <c r="G14" i="13"/>
  <c r="H14" i="13"/>
  <c r="I14" i="13"/>
  <c r="F15" i="13"/>
  <c r="G15" i="13"/>
  <c r="H15" i="13"/>
  <c r="I15" i="13"/>
  <c r="F35" i="13"/>
  <c r="G35" i="13"/>
  <c r="H35" i="13"/>
  <c r="I35" i="13"/>
  <c r="I59" i="13" s="1"/>
  <c r="I18" i="33" l="1"/>
  <c r="I19" i="33"/>
  <c r="F16" i="13"/>
  <c r="F58" i="13" s="1"/>
  <c r="F60" i="13" s="1"/>
  <c r="F64" i="13" s="1"/>
  <c r="B117" i="26"/>
  <c r="I13" i="13"/>
  <c r="I16" i="13" s="1"/>
  <c r="I58" i="13" s="1"/>
  <c r="I60" i="13" s="1"/>
  <c r="I64" i="13" s="1"/>
  <c r="G16" i="13"/>
  <c r="G58" i="13" s="1"/>
  <c r="H16" i="13"/>
  <c r="H58" i="13" s="1"/>
  <c r="H60" i="13" s="1"/>
  <c r="H64" i="13" s="1"/>
  <c r="E110" i="26"/>
  <c r="E112" i="26" s="1"/>
  <c r="B114" i="26" s="1"/>
  <c r="D117" i="26"/>
  <c r="I35" i="33"/>
  <c r="I20" i="33"/>
  <c r="I15" i="33"/>
  <c r="I14" i="33"/>
  <c r="H15" i="33"/>
  <c r="H14" i="33"/>
  <c r="G15" i="33"/>
  <c r="G14" i="33"/>
  <c r="G16" i="33" s="1"/>
  <c r="G58" i="33" s="1"/>
  <c r="F15" i="33"/>
  <c r="F14" i="33"/>
  <c r="H59" i="33"/>
  <c r="G59" i="33"/>
  <c r="F59" i="33"/>
  <c r="G71" i="33"/>
  <c r="H71" i="33"/>
  <c r="I71" i="33"/>
  <c r="C71" i="33" s="1"/>
  <c r="D71" i="33" s="1"/>
  <c r="F71" i="33"/>
  <c r="F70" i="15"/>
  <c r="G70" i="15"/>
  <c r="H70" i="15"/>
  <c r="I70" i="15"/>
  <c r="C70" i="15" s="1"/>
  <c r="D70" i="15" s="1"/>
  <c r="F58" i="15"/>
  <c r="G58" i="15"/>
  <c r="H58" i="15"/>
  <c r="F34" i="15"/>
  <c r="G34" i="15"/>
  <c r="H34" i="15"/>
  <c r="F21" i="15"/>
  <c r="G21" i="15"/>
  <c r="H21" i="15"/>
  <c r="I21" i="15"/>
  <c r="C21" i="15" s="1"/>
  <c r="D21" i="15" s="1"/>
  <c r="F14" i="15"/>
  <c r="G14" i="15"/>
  <c r="H14" i="15"/>
  <c r="I14" i="15"/>
  <c r="F15" i="15"/>
  <c r="G15" i="15"/>
  <c r="H15" i="15"/>
  <c r="I15" i="15"/>
  <c r="D74" i="13"/>
  <c r="D71" i="13"/>
  <c r="D70" i="13"/>
  <c r="D70" i="33"/>
  <c r="D66" i="33"/>
  <c r="D68" i="15"/>
  <c r="D66" i="15"/>
  <c r="D25" i="15"/>
  <c r="C73" i="33"/>
  <c r="C70" i="33"/>
  <c r="C69" i="33"/>
  <c r="D69" i="33" s="1"/>
  <c r="C68" i="33"/>
  <c r="D68" i="33" s="1"/>
  <c r="C67" i="33"/>
  <c r="D67" i="33" s="1"/>
  <c r="C66" i="33"/>
  <c r="C65" i="33"/>
  <c r="D65" i="33" s="1"/>
  <c r="C33" i="33"/>
  <c r="C32" i="33"/>
  <c r="C31" i="33"/>
  <c r="C30" i="33"/>
  <c r="D30" i="33" s="1"/>
  <c r="C29" i="33"/>
  <c r="D29" i="33" s="1"/>
  <c r="C28" i="33"/>
  <c r="D28" i="33" s="1"/>
  <c r="C27" i="33"/>
  <c r="D27" i="33" s="1"/>
  <c r="C26" i="33"/>
  <c r="D26" i="33" s="1"/>
  <c r="C25" i="33"/>
  <c r="D25" i="33" s="1"/>
  <c r="C24" i="33"/>
  <c r="D24" i="33" s="1"/>
  <c r="C23" i="33"/>
  <c r="D23" i="33" s="1"/>
  <c r="C22" i="33"/>
  <c r="D22" i="33" s="1"/>
  <c r="C19" i="33"/>
  <c r="D19" i="33" s="1"/>
  <c r="C18" i="33"/>
  <c r="D18" i="33" s="1"/>
  <c r="C72" i="15"/>
  <c r="D72" i="15" s="1"/>
  <c r="C69" i="15"/>
  <c r="D69" i="15" s="1"/>
  <c r="C68" i="15"/>
  <c r="C67" i="15"/>
  <c r="D67" i="15" s="1"/>
  <c r="C66" i="15"/>
  <c r="C65" i="15"/>
  <c r="D65" i="15" s="1"/>
  <c r="C64" i="15"/>
  <c r="D64" i="15" s="1"/>
  <c r="C33" i="15"/>
  <c r="C32" i="15"/>
  <c r="C31" i="15"/>
  <c r="C30" i="15"/>
  <c r="D30" i="15" s="1"/>
  <c r="C29" i="15"/>
  <c r="D29" i="15" s="1"/>
  <c r="C28" i="15"/>
  <c r="D28" i="15" s="1"/>
  <c r="C27" i="15"/>
  <c r="D27" i="15" s="1"/>
  <c r="C26" i="15"/>
  <c r="D26" i="15" s="1"/>
  <c r="C25" i="15"/>
  <c r="C24" i="15"/>
  <c r="D24" i="15" s="1"/>
  <c r="C23" i="15"/>
  <c r="D23" i="15" s="1"/>
  <c r="C22" i="15"/>
  <c r="D22" i="15" s="1"/>
  <c r="C20" i="15"/>
  <c r="D20" i="15" s="1"/>
  <c r="C19" i="15"/>
  <c r="D19" i="15" s="1"/>
  <c r="C16" i="15"/>
  <c r="D16" i="15" s="1"/>
  <c r="C75" i="13"/>
  <c r="D75" i="13" s="1"/>
  <c r="C74" i="13"/>
  <c r="C73" i="13"/>
  <c r="D73" i="13" s="1"/>
  <c r="C72" i="13"/>
  <c r="D72" i="13" s="1"/>
  <c r="C71" i="13"/>
  <c r="C70" i="13"/>
  <c r="C69" i="13"/>
  <c r="D69" i="13" s="1"/>
  <c r="C59" i="13"/>
  <c r="D59" i="13" s="1"/>
  <c r="C35" i="13"/>
  <c r="D35" i="13" s="1"/>
  <c r="C34" i="13"/>
  <c r="C33" i="13"/>
  <c r="C32" i="13"/>
  <c r="C31" i="13"/>
  <c r="C30" i="13"/>
  <c r="C29" i="13"/>
  <c r="D29" i="13" s="1"/>
  <c r="C28" i="13"/>
  <c r="D28" i="13" s="1"/>
  <c r="C27" i="13"/>
  <c r="D27" i="13" s="1"/>
  <c r="C26" i="13"/>
  <c r="D26" i="13" s="1"/>
  <c r="C25" i="13"/>
  <c r="D25" i="13" s="1"/>
  <c r="C24" i="13"/>
  <c r="D24" i="13" s="1"/>
  <c r="C23" i="13"/>
  <c r="D23" i="13" s="1"/>
  <c r="C22" i="13"/>
  <c r="D22" i="13" s="1"/>
  <c r="C21" i="13"/>
  <c r="D21" i="13" s="1"/>
  <c r="C20" i="13"/>
  <c r="D20" i="13" s="1"/>
  <c r="C19" i="13"/>
  <c r="D19" i="13" s="1"/>
  <c r="C18" i="13"/>
  <c r="D18" i="13" s="1"/>
  <c r="F62" i="13" l="1"/>
  <c r="F49" i="13"/>
  <c r="F36" i="13"/>
  <c r="F50" i="13" s="1"/>
  <c r="F47" i="13"/>
  <c r="F63" i="13"/>
  <c r="F44" i="13"/>
  <c r="F45" i="13"/>
  <c r="F48" i="13"/>
  <c r="I34" i="15"/>
  <c r="I58" i="15" s="1"/>
  <c r="C58" i="15" s="1"/>
  <c r="D58" i="15" s="1"/>
  <c r="F46" i="13"/>
  <c r="H45" i="13"/>
  <c r="H36" i="13"/>
  <c r="H50" i="13" s="1"/>
  <c r="H49" i="13"/>
  <c r="H44" i="13"/>
  <c r="H47" i="13"/>
  <c r="H63" i="13"/>
  <c r="H46" i="13"/>
  <c r="I59" i="33"/>
  <c r="C59" i="33" s="1"/>
  <c r="D59" i="33" s="1"/>
  <c r="C35" i="33"/>
  <c r="D35" i="33" s="1"/>
  <c r="H17" i="15"/>
  <c r="H43" i="15" s="1"/>
  <c r="I16" i="33"/>
  <c r="I49" i="33" s="1"/>
  <c r="G17" i="15"/>
  <c r="G57" i="15" s="1"/>
  <c r="G59" i="15" s="1"/>
  <c r="H16" i="33"/>
  <c r="H58" i="33" s="1"/>
  <c r="H60" i="33" s="1"/>
  <c r="G47" i="13"/>
  <c r="G48" i="13"/>
  <c r="G36" i="13"/>
  <c r="G50" i="13" s="1"/>
  <c r="H62" i="13"/>
  <c r="G49" i="13"/>
  <c r="G44" i="13"/>
  <c r="G46" i="13"/>
  <c r="I36" i="13"/>
  <c r="I42" i="13" s="1"/>
  <c r="G60" i="13"/>
  <c r="G64" i="13" s="1"/>
  <c r="G63" i="13"/>
  <c r="H48" i="13"/>
  <c r="G45" i="13"/>
  <c r="G62" i="13"/>
  <c r="I63" i="13"/>
  <c r="I49" i="13"/>
  <c r="I46" i="13"/>
  <c r="I48" i="13"/>
  <c r="I44" i="13"/>
  <c r="I47" i="13"/>
  <c r="I62" i="13"/>
  <c r="I45" i="13"/>
  <c r="I17" i="15"/>
  <c r="I57" i="15" s="1"/>
  <c r="F17" i="15"/>
  <c r="F44" i="15" s="1"/>
  <c r="F16" i="33"/>
  <c r="F58" i="33" s="1"/>
  <c r="F60" i="33" s="1"/>
  <c r="G60" i="33"/>
  <c r="H57" i="15" l="1"/>
  <c r="H59" i="15" s="1"/>
  <c r="C34" i="15"/>
  <c r="D34" i="15" s="1"/>
  <c r="H35" i="15"/>
  <c r="H49" i="15" s="1"/>
  <c r="H46" i="15"/>
  <c r="I45" i="33"/>
  <c r="I47" i="33"/>
  <c r="I48" i="33"/>
  <c r="I59" i="15"/>
  <c r="G48" i="15"/>
  <c r="H48" i="15"/>
  <c r="H44" i="15"/>
  <c r="H47" i="15"/>
  <c r="H45" i="15"/>
  <c r="I58" i="33"/>
  <c r="I60" i="33" s="1"/>
  <c r="I36" i="33"/>
  <c r="I42" i="33" s="1"/>
  <c r="I46" i="33"/>
  <c r="I44" i="33"/>
  <c r="G35" i="15"/>
  <c r="G49" i="15" s="1"/>
  <c r="G43" i="15"/>
  <c r="G47" i="15"/>
  <c r="G44" i="15"/>
  <c r="G45" i="15"/>
  <c r="G46" i="15"/>
  <c r="I50" i="13"/>
  <c r="I44" i="15"/>
  <c r="I47" i="15"/>
  <c r="I46" i="15"/>
  <c r="I43" i="15"/>
  <c r="I35" i="15"/>
  <c r="I45" i="15"/>
  <c r="I48" i="15"/>
  <c r="F45" i="15"/>
  <c r="F48" i="15"/>
  <c r="F35" i="15"/>
  <c r="F49" i="15" s="1"/>
  <c r="F43" i="15"/>
  <c r="F57" i="15"/>
  <c r="F59" i="15" s="1"/>
  <c r="F46" i="15"/>
  <c r="F47" i="15"/>
  <c r="I50" i="33" l="1"/>
  <c r="I49" i="15"/>
  <c r="I41" i="15"/>
  <c r="E92" i="26" l="1"/>
  <c r="AU46" i="33" l="1"/>
  <c r="AP72" i="15" l="1"/>
  <c r="J70" i="33" l="1"/>
  <c r="J66" i="33"/>
  <c r="M70" i="33"/>
  <c r="M66" i="33"/>
  <c r="M65" i="33"/>
  <c r="L70" i="33"/>
  <c r="L66" i="33"/>
  <c r="L65" i="33"/>
  <c r="K70" i="33"/>
  <c r="K66" i="33"/>
  <c r="K65" i="33"/>
  <c r="J65" i="33"/>
  <c r="C102" i="26" l="1"/>
  <c r="D102" i="26"/>
  <c r="E102" i="26"/>
  <c r="B102" i="26"/>
  <c r="AR70" i="13" l="1"/>
  <c r="AR72" i="15"/>
  <c r="AR65" i="15"/>
  <c r="AR66" i="15"/>
  <c r="AR67" i="15"/>
  <c r="AR68" i="15"/>
  <c r="AR69" i="15"/>
  <c r="AR64" i="15"/>
  <c r="AR26" i="15"/>
  <c r="AO72" i="15" l="1"/>
  <c r="AO69" i="15"/>
  <c r="AP69" i="15" s="1"/>
  <c r="AO68" i="15"/>
  <c r="AP68" i="15" s="1"/>
  <c r="AO67" i="15"/>
  <c r="AO66" i="15"/>
  <c r="AP66" i="15" s="1"/>
  <c r="AO65" i="15"/>
  <c r="AP65" i="15" s="1"/>
  <c r="AO64" i="15"/>
  <c r="AP64" i="15" s="1"/>
  <c r="AO50" i="15"/>
  <c r="AO16" i="15"/>
  <c r="AP16" i="15" s="1"/>
  <c r="AR33" i="15"/>
  <c r="AR32" i="15"/>
  <c r="AR31" i="15"/>
  <c r="AR30" i="15"/>
  <c r="AR29" i="15"/>
  <c r="AR28" i="15"/>
  <c r="AR27" i="15"/>
  <c r="AR25" i="15"/>
  <c r="AR24" i="15"/>
  <c r="AR23" i="15"/>
  <c r="AR22" i="15"/>
  <c r="AR19" i="15"/>
  <c r="AR20" i="15"/>
  <c r="AO20" i="15" s="1"/>
  <c r="AP20" i="15" s="1"/>
  <c r="AR70" i="15"/>
  <c r="AO70" i="15" s="1"/>
  <c r="AP70" i="15" s="1"/>
  <c r="J70" i="15"/>
  <c r="J51" i="15"/>
  <c r="AR51" i="15" s="1"/>
  <c r="J21" i="15"/>
  <c r="J14" i="15"/>
  <c r="J15" i="15"/>
  <c r="AO67" i="33"/>
  <c r="AP67" i="33" s="1"/>
  <c r="AO73" i="33"/>
  <c r="AR23" i="33"/>
  <c r="AR22" i="33"/>
  <c r="AO22" i="33" s="1"/>
  <c r="AP22" i="33" s="1"/>
  <c r="AR73" i="33"/>
  <c r="AR70" i="33"/>
  <c r="AO70" i="33" s="1"/>
  <c r="AP70" i="33" s="1"/>
  <c r="AR69" i="33"/>
  <c r="AO69" i="33" s="1"/>
  <c r="AP69" i="33" s="1"/>
  <c r="AR68" i="33"/>
  <c r="AO68" i="33" s="1"/>
  <c r="AP68" i="33" s="1"/>
  <c r="AR67" i="33"/>
  <c r="AR66" i="33"/>
  <c r="AO66" i="33" s="1"/>
  <c r="AP66" i="33" s="1"/>
  <c r="AR65" i="33"/>
  <c r="AO65" i="33" s="1"/>
  <c r="AP65" i="33" s="1"/>
  <c r="AR33" i="33"/>
  <c r="AR32" i="33"/>
  <c r="AR31" i="33"/>
  <c r="AR30" i="33"/>
  <c r="AR29" i="33"/>
  <c r="AR28" i="33"/>
  <c r="AR27" i="33"/>
  <c r="AR26" i="33"/>
  <c r="AR25" i="33"/>
  <c r="AR24" i="33"/>
  <c r="J35" i="33"/>
  <c r="J14" i="33"/>
  <c r="J52" i="33"/>
  <c r="AR52" i="33" s="1"/>
  <c r="J71" i="33"/>
  <c r="AR71" i="13"/>
  <c r="AO72" i="13"/>
  <c r="AP72" i="13" s="1"/>
  <c r="AO73" i="13"/>
  <c r="AP73" i="13" s="1"/>
  <c r="AO71" i="13"/>
  <c r="AP71" i="13" s="1"/>
  <c r="AO70" i="13"/>
  <c r="AP70" i="13" s="1"/>
  <c r="AR72" i="13"/>
  <c r="AR73" i="13"/>
  <c r="AR74" i="13"/>
  <c r="AO74" i="13" s="1"/>
  <c r="AP74" i="13" s="1"/>
  <c r="AR69" i="13"/>
  <c r="AO69" i="13" s="1"/>
  <c r="AP69" i="13" s="1"/>
  <c r="AR34" i="13"/>
  <c r="AR33" i="13"/>
  <c r="AR32" i="13"/>
  <c r="AR31" i="13"/>
  <c r="AR30" i="13"/>
  <c r="AO30" i="13" s="1"/>
  <c r="AP30" i="13" s="1"/>
  <c r="AR29" i="13"/>
  <c r="AR28" i="13"/>
  <c r="AR27" i="13"/>
  <c r="AR26" i="13"/>
  <c r="AR25" i="13"/>
  <c r="AR24" i="13"/>
  <c r="AR23" i="13"/>
  <c r="AR22" i="13"/>
  <c r="AR21" i="13"/>
  <c r="AR19" i="13"/>
  <c r="AO19" i="13" s="1"/>
  <c r="AP19" i="13" s="1"/>
  <c r="AR18" i="13"/>
  <c r="J14" i="13"/>
  <c r="J15" i="13"/>
  <c r="J75" i="13"/>
  <c r="J52" i="13"/>
  <c r="AR52" i="13" s="1"/>
  <c r="J20" i="13"/>
  <c r="AR20" i="13" l="1"/>
  <c r="AO20" i="13" s="1"/>
  <c r="AP20" i="13" s="1"/>
  <c r="J59" i="33"/>
  <c r="AR21" i="15"/>
  <c r="AR34" i="15" s="1"/>
  <c r="J34" i="15"/>
  <c r="J58" i="15" s="1"/>
  <c r="AO19" i="15"/>
  <c r="AP19" i="15" s="1"/>
  <c r="AR71" i="33"/>
  <c r="AO71" i="33" s="1"/>
  <c r="AP71" i="33" s="1"/>
  <c r="AR35" i="33"/>
  <c r="AR75" i="13"/>
  <c r="AO75" i="13" s="1"/>
  <c r="AP75" i="13" s="1"/>
  <c r="J35" i="13"/>
  <c r="AO18" i="13"/>
  <c r="AP18" i="13" s="1"/>
  <c r="J15" i="33"/>
  <c r="J17" i="15"/>
  <c r="J43" i="15" s="1"/>
  <c r="J13" i="13"/>
  <c r="J16" i="13" s="1"/>
  <c r="J47" i="13" s="1"/>
  <c r="J45" i="15" l="1"/>
  <c r="J46" i="15"/>
  <c r="AR35" i="13"/>
  <c r="J59" i="13"/>
  <c r="AR59" i="13" s="1"/>
  <c r="AO59" i="13" s="1"/>
  <c r="AP59" i="13" s="1"/>
  <c r="J16" i="33"/>
  <c r="J48" i="15"/>
  <c r="J47" i="15"/>
  <c r="AR59" i="33"/>
  <c r="J57" i="15"/>
  <c r="J35" i="15"/>
  <c r="J44" i="15"/>
  <c r="J49" i="13"/>
  <c r="J48" i="13"/>
  <c r="J36" i="13"/>
  <c r="J44" i="13"/>
  <c r="J45" i="13"/>
  <c r="J58" i="13"/>
  <c r="J46" i="13"/>
  <c r="J50" i="13" l="1"/>
  <c r="J42" i="13"/>
  <c r="J49" i="15"/>
  <c r="J41" i="15"/>
  <c r="J58" i="33"/>
  <c r="J60" i="33" s="1"/>
  <c r="J47" i="33"/>
  <c r="J48" i="33"/>
  <c r="J49" i="33"/>
  <c r="J62" i="13"/>
  <c r="J63" i="13"/>
  <c r="J46" i="33"/>
  <c r="J36" i="33"/>
  <c r="AR58" i="15"/>
  <c r="AO58" i="15" s="1"/>
  <c r="AP58" i="15" s="1"/>
  <c r="J59" i="15"/>
  <c r="J60" i="13"/>
  <c r="J64" i="13" s="1"/>
  <c r="J50" i="33" l="1"/>
  <c r="J42" i="33"/>
  <c r="BL42" i="12" l="1"/>
  <c r="BK42" i="12"/>
  <c r="BJ42" i="12"/>
  <c r="K51" i="15" l="1"/>
  <c r="K52" i="33"/>
  <c r="K20" i="13" l="1"/>
  <c r="K27" i="15"/>
  <c r="K21" i="15"/>
  <c r="N35" i="33"/>
  <c r="N59" i="33" s="1"/>
  <c r="K35" i="33"/>
  <c r="K59" i="33" s="1"/>
  <c r="AT33" i="33"/>
  <c r="AS33" i="33"/>
  <c r="AO33" i="33" s="1"/>
  <c r="AP33" i="33" s="1"/>
  <c r="AN33" i="33"/>
  <c r="AM33" i="33"/>
  <c r="AU32" i="33"/>
  <c r="AT32" i="33"/>
  <c r="AS32" i="33"/>
  <c r="AO32" i="33" s="1"/>
  <c r="AP32" i="33" s="1"/>
  <c r="AN32" i="33"/>
  <c r="AM32" i="33"/>
  <c r="AU31" i="33"/>
  <c r="AT31" i="33"/>
  <c r="AS31" i="33"/>
  <c r="AO31" i="33" s="1"/>
  <c r="AP31" i="33" s="1"/>
  <c r="AN31" i="33"/>
  <c r="AM31" i="33"/>
  <c r="K52" i="13" l="1"/>
  <c r="AM52" i="13" s="1"/>
  <c r="AN72" i="15"/>
  <c r="AM72" i="15"/>
  <c r="AM65" i="15"/>
  <c r="AN68" i="15"/>
  <c r="AM33" i="15"/>
  <c r="AM32" i="15"/>
  <c r="AM31" i="15"/>
  <c r="AM30" i="15"/>
  <c r="AM29" i="15"/>
  <c r="AM28" i="15"/>
  <c r="AM27" i="15"/>
  <c r="AM26" i="15"/>
  <c r="AM25" i="15"/>
  <c r="AM24" i="15"/>
  <c r="AM23" i="15"/>
  <c r="AM22" i="15"/>
  <c r="AM21" i="15"/>
  <c r="AM20" i="15"/>
  <c r="AM19" i="15"/>
  <c r="AM51" i="15"/>
  <c r="AM69" i="15"/>
  <c r="AM68" i="15"/>
  <c r="AM67" i="15"/>
  <c r="AM66" i="15"/>
  <c r="AM64" i="15"/>
  <c r="AN33" i="15"/>
  <c r="AN32" i="15"/>
  <c r="AN31" i="15"/>
  <c r="AN30" i="15"/>
  <c r="AN29" i="15"/>
  <c r="AN28" i="15"/>
  <c r="AN27" i="15"/>
  <c r="AN26" i="15"/>
  <c r="AN25" i="15"/>
  <c r="AN24" i="15"/>
  <c r="AN23" i="15"/>
  <c r="AN21" i="15"/>
  <c r="AN20" i="15"/>
  <c r="AN19" i="15"/>
  <c r="AN69" i="15"/>
  <c r="AN67" i="15"/>
  <c r="AN66" i="15"/>
  <c r="AN65" i="15"/>
  <c r="AN64" i="15"/>
  <c r="K70" i="15"/>
  <c r="K34" i="15"/>
  <c r="K58" i="15" s="1"/>
  <c r="K14" i="15"/>
  <c r="K15" i="15"/>
  <c r="AN14" i="33"/>
  <c r="AN30" i="33"/>
  <c r="AN29" i="33"/>
  <c r="AN28" i="33"/>
  <c r="AN27" i="33"/>
  <c r="AN26" i="33"/>
  <c r="AN25" i="33"/>
  <c r="AN24" i="33"/>
  <c r="AN22" i="33"/>
  <c r="AN19" i="33"/>
  <c r="AN18" i="33"/>
  <c r="AN73" i="33"/>
  <c r="AN70" i="33"/>
  <c r="AN69" i="33"/>
  <c r="AN68" i="33"/>
  <c r="AN67" i="33"/>
  <c r="AN66" i="33"/>
  <c r="AN65" i="33"/>
  <c r="AM30" i="33"/>
  <c r="AM29" i="33"/>
  <c r="AM28" i="33"/>
  <c r="AM27" i="33"/>
  <c r="AM26" i="33"/>
  <c r="AM25" i="33"/>
  <c r="AM24" i="33"/>
  <c r="AM23" i="33"/>
  <c r="AM22" i="33"/>
  <c r="AM52" i="33"/>
  <c r="AM73" i="33"/>
  <c r="AM70" i="33"/>
  <c r="AM68" i="33"/>
  <c r="AM67" i="33"/>
  <c r="AM66" i="33"/>
  <c r="AM65" i="33"/>
  <c r="K71" i="33"/>
  <c r="K14" i="33"/>
  <c r="AM71" i="13"/>
  <c r="AM34" i="13"/>
  <c r="AM33" i="13"/>
  <c r="AM32" i="13"/>
  <c r="AM31" i="13"/>
  <c r="AM30" i="13"/>
  <c r="AM29" i="13"/>
  <c r="AM28" i="13"/>
  <c r="AM27" i="13"/>
  <c r="AM26" i="13"/>
  <c r="AM25" i="13"/>
  <c r="AM24" i="13"/>
  <c r="AM23" i="13"/>
  <c r="AM22" i="13"/>
  <c r="AM21" i="13"/>
  <c r="AM20" i="13"/>
  <c r="AM19" i="13"/>
  <c r="AM18" i="13"/>
  <c r="AM73" i="13"/>
  <c r="AM72" i="13"/>
  <c r="AM70" i="13"/>
  <c r="AM69" i="13"/>
  <c r="AN34" i="13"/>
  <c r="AN33" i="13"/>
  <c r="AN32" i="13"/>
  <c r="AN31" i="13"/>
  <c r="AN29" i="13"/>
  <c r="AN27" i="13"/>
  <c r="AN26" i="13"/>
  <c r="AN25" i="13"/>
  <c r="AN24" i="13"/>
  <c r="AN23" i="13"/>
  <c r="AN22" i="13"/>
  <c r="AN19" i="13"/>
  <c r="AN18" i="13"/>
  <c r="AN74" i="13"/>
  <c r="AN73" i="13"/>
  <c r="AN72" i="13"/>
  <c r="AN71" i="13"/>
  <c r="AN70" i="13"/>
  <c r="AN69" i="13"/>
  <c r="K75" i="13"/>
  <c r="K35" i="13"/>
  <c r="K14" i="13"/>
  <c r="K15" i="13"/>
  <c r="K17" i="15" l="1"/>
  <c r="K44" i="15" s="1"/>
  <c r="K59" i="13"/>
  <c r="K46" i="15" l="1"/>
  <c r="K45" i="15"/>
  <c r="K48" i="15"/>
  <c r="K47" i="15"/>
  <c r="K43" i="15"/>
  <c r="K35" i="15"/>
  <c r="K57" i="15"/>
  <c r="K59" i="15" s="1"/>
  <c r="K13" i="13"/>
  <c r="K15" i="33"/>
  <c r="K49" i="15" l="1"/>
  <c r="K41" i="15"/>
  <c r="K16" i="13"/>
  <c r="K36" i="13" s="1"/>
  <c r="K16" i="33"/>
  <c r="K48" i="33" s="1"/>
  <c r="BL38" i="34"/>
  <c r="BL37" i="34"/>
  <c r="BK38" i="34"/>
  <c r="BK37" i="34"/>
  <c r="AW44" i="15"/>
  <c r="AW43" i="15"/>
  <c r="AV44" i="15"/>
  <c r="AV43" i="15"/>
  <c r="AU44" i="15"/>
  <c r="AU43" i="15"/>
  <c r="AT44" i="15"/>
  <c r="AT43" i="15"/>
  <c r="AT44" i="13"/>
  <c r="AU44" i="13"/>
  <c r="AV44" i="13"/>
  <c r="AW44" i="13"/>
  <c r="AT45" i="13"/>
  <c r="AU45" i="13"/>
  <c r="AV45" i="13"/>
  <c r="AW45" i="13"/>
  <c r="BL53" i="8"/>
  <c r="BK53" i="8"/>
  <c r="K47" i="13" l="1"/>
  <c r="K58" i="13"/>
  <c r="K63" i="13" s="1"/>
  <c r="K48" i="13"/>
  <c r="K44" i="13"/>
  <c r="K46" i="13"/>
  <c r="K62" i="13"/>
  <c r="K50" i="13"/>
  <c r="K42" i="13"/>
  <c r="K45" i="13"/>
  <c r="K49" i="13"/>
  <c r="K47" i="33"/>
  <c r="K49" i="33"/>
  <c r="K36" i="33"/>
  <c r="K58" i="33"/>
  <c r="K46" i="33"/>
  <c r="K60" i="13" l="1"/>
  <c r="K64" i="13" s="1"/>
  <c r="K50" i="33"/>
  <c r="K42" i="33"/>
  <c r="K60" i="33"/>
  <c r="AN16" i="33"/>
  <c r="AN44" i="33" l="1"/>
  <c r="AN45" i="33"/>
  <c r="L52" i="33"/>
  <c r="L74" i="13" l="1"/>
  <c r="AM74" i="13" s="1"/>
  <c r="L35" i="33"/>
  <c r="L59" i="33" s="1"/>
  <c r="L15" i="15"/>
  <c r="L14" i="15"/>
  <c r="L69" i="33"/>
  <c r="AM69" i="33" s="1"/>
  <c r="L14" i="13"/>
  <c r="L13" i="13"/>
  <c r="L15" i="13" l="1"/>
  <c r="AN15" i="33"/>
  <c r="L51" i="15"/>
  <c r="L17" i="15"/>
  <c r="L34" i="15"/>
  <c r="L70" i="15"/>
  <c r="L71" i="33"/>
  <c r="L14" i="33"/>
  <c r="AN75" i="13"/>
  <c r="L75" i="13"/>
  <c r="L52" i="13"/>
  <c r="L35" i="13"/>
  <c r="L59" i="13" s="1"/>
  <c r="L16" i="13"/>
  <c r="L48" i="13" s="1"/>
  <c r="L47" i="15" l="1"/>
  <c r="L15" i="33"/>
  <c r="L45" i="13"/>
  <c r="L44" i="13"/>
  <c r="L44" i="15"/>
  <c r="L43" i="15"/>
  <c r="L45" i="15"/>
  <c r="L57" i="15"/>
  <c r="L58" i="15"/>
  <c r="AM35" i="13"/>
  <c r="L62" i="13"/>
  <c r="L35" i="15"/>
  <c r="L41" i="15" s="1"/>
  <c r="L48" i="15"/>
  <c r="L46" i="15"/>
  <c r="L46" i="13"/>
  <c r="L58" i="13"/>
  <c r="L36" i="13"/>
  <c r="L49" i="13"/>
  <c r="L47" i="13"/>
  <c r="L50" i="13" l="1"/>
  <c r="L42" i="13"/>
  <c r="L16" i="33"/>
  <c r="L46" i="33" s="1"/>
  <c r="L59" i="15"/>
  <c r="L49" i="15"/>
  <c r="L63" i="13"/>
  <c r="L60" i="13"/>
  <c r="L58" i="33" l="1"/>
  <c r="L60" i="33" s="1"/>
  <c r="L44" i="33"/>
  <c r="L45" i="33"/>
  <c r="L48" i="33"/>
  <c r="L47" i="33"/>
  <c r="L64" i="13"/>
  <c r="L36" i="33" l="1"/>
  <c r="L49" i="33"/>
  <c r="BL29" i="1"/>
  <c r="BK29" i="1"/>
  <c r="BJ29" i="1"/>
  <c r="L50" i="33" l="1"/>
  <c r="L42" i="33"/>
  <c r="M52" i="33" l="1"/>
  <c r="C52" i="33" s="1"/>
  <c r="D52" i="33" s="1"/>
  <c r="M51" i="15" l="1"/>
  <c r="C51" i="15" s="1"/>
  <c r="D51" i="15" s="1"/>
  <c r="E94" i="26" l="1"/>
  <c r="E95" i="26" s="1"/>
  <c r="D94" i="26"/>
  <c r="D95" i="26" s="1"/>
  <c r="K21" i="33" s="1"/>
  <c r="C94" i="26"/>
  <c r="C95" i="26" s="1"/>
  <c r="M70" i="15"/>
  <c r="M34" i="15"/>
  <c r="M58" i="15" s="1"/>
  <c r="AM58" i="15" s="1"/>
  <c r="M15" i="15"/>
  <c r="C15" i="15" s="1"/>
  <c r="D15" i="15" s="1"/>
  <c r="M14" i="15"/>
  <c r="C14" i="15" s="1"/>
  <c r="D14" i="15" s="1"/>
  <c r="M71" i="33"/>
  <c r="M15" i="33"/>
  <c r="M14" i="33"/>
  <c r="C14" i="33" s="1"/>
  <c r="D14" i="33" s="1"/>
  <c r="M75" i="13"/>
  <c r="M35" i="13"/>
  <c r="M59" i="13" s="1"/>
  <c r="AM59" i="13" s="1"/>
  <c r="M77" i="13"/>
  <c r="AT73" i="33"/>
  <c r="AS73" i="33"/>
  <c r="M14" i="13"/>
  <c r="C14" i="13" s="1"/>
  <c r="D14" i="13" s="1"/>
  <c r="M52" i="13"/>
  <c r="C52" i="13" s="1"/>
  <c r="D52" i="13" s="1"/>
  <c r="N15" i="33"/>
  <c r="BN72" i="35"/>
  <c r="B94" i="26"/>
  <c r="B95" i="26" s="1"/>
  <c r="M15" i="13" l="1"/>
  <c r="C15" i="13" s="1"/>
  <c r="D15" i="13" s="1"/>
  <c r="AR15" i="33"/>
  <c r="C15" i="33"/>
  <c r="AR77" i="13"/>
  <c r="C77" i="13"/>
  <c r="D77" i="13" s="1"/>
  <c r="AM14" i="15"/>
  <c r="AR14" i="15"/>
  <c r="AM14" i="33"/>
  <c r="AR14" i="33"/>
  <c r="AM15" i="15"/>
  <c r="AR15" i="15"/>
  <c r="AM14" i="13"/>
  <c r="AR14" i="13"/>
  <c r="M13" i="13"/>
  <c r="C13" i="13" s="1"/>
  <c r="D13" i="13" s="1"/>
  <c r="K19" i="33"/>
  <c r="K18" i="33"/>
  <c r="K20" i="33" s="1"/>
  <c r="AM77" i="13"/>
  <c r="AM15" i="33"/>
  <c r="M16" i="33"/>
  <c r="M17" i="15"/>
  <c r="C17" i="15" s="1"/>
  <c r="D17" i="15" s="1"/>
  <c r="E97" i="26"/>
  <c r="J21" i="33" s="1"/>
  <c r="J18" i="33" s="1"/>
  <c r="B97" i="26"/>
  <c r="M21" i="33" s="1"/>
  <c r="D97" i="26"/>
  <c r="C97" i="26"/>
  <c r="L21" i="33" s="1"/>
  <c r="AR15" i="13" l="1"/>
  <c r="AM15" i="13"/>
  <c r="M58" i="33"/>
  <c r="C58" i="33" s="1"/>
  <c r="D58" i="33" s="1"/>
  <c r="C16" i="33"/>
  <c r="D16" i="33" s="1"/>
  <c r="M20" i="33"/>
  <c r="C20" i="33" s="1"/>
  <c r="D20" i="33" s="1"/>
  <c r="C21" i="33"/>
  <c r="D21" i="33" s="1"/>
  <c r="J19" i="33"/>
  <c r="AR21" i="33"/>
  <c r="AM13" i="13"/>
  <c r="AR13" i="13"/>
  <c r="AR16" i="33"/>
  <c r="AR49" i="33" s="1"/>
  <c r="AR17" i="15"/>
  <c r="AM58" i="33"/>
  <c r="AR58" i="33"/>
  <c r="M46" i="33"/>
  <c r="C46" i="33" s="1"/>
  <c r="M16" i="13"/>
  <c r="AM18" i="33"/>
  <c r="K44" i="33"/>
  <c r="AM19" i="33"/>
  <c r="K45" i="33"/>
  <c r="M45" i="15"/>
  <c r="C45" i="15" s="1"/>
  <c r="M47" i="15"/>
  <c r="C47" i="15" s="1"/>
  <c r="AM16" i="33"/>
  <c r="L20" i="33"/>
  <c r="AM20" i="33" s="1"/>
  <c r="AM21" i="33"/>
  <c r="M46" i="15"/>
  <c r="C46" i="15" s="1"/>
  <c r="M43" i="15"/>
  <c r="C43" i="15" s="1"/>
  <c r="M44" i="15"/>
  <c r="C44" i="15" s="1"/>
  <c r="M35" i="33"/>
  <c r="M59" i="33" s="1"/>
  <c r="AM59" i="33" s="1"/>
  <c r="M45" i="33"/>
  <c r="C45" i="33" s="1"/>
  <c r="M44" i="33"/>
  <c r="C44" i="33" s="1"/>
  <c r="M48" i="15"/>
  <c r="C48" i="15" s="1"/>
  <c r="M47" i="33"/>
  <c r="C47" i="33" s="1"/>
  <c r="M57" i="15"/>
  <c r="C57" i="15" s="1"/>
  <c r="D57" i="15" s="1"/>
  <c r="M36" i="33"/>
  <c r="M42" i="33" s="1"/>
  <c r="C42" i="33" s="1"/>
  <c r="D42" i="33" s="1"/>
  <c r="M35" i="15"/>
  <c r="M41" i="15" s="1"/>
  <c r="C41" i="15" s="1"/>
  <c r="D41" i="15" s="1"/>
  <c r="B99" i="26"/>
  <c r="M49" i="15" l="1"/>
  <c r="C49" i="15" s="1"/>
  <c r="C35" i="15"/>
  <c r="D35" i="15" s="1"/>
  <c r="M44" i="13"/>
  <c r="C44" i="13" s="1"/>
  <c r="C16" i="13"/>
  <c r="D16" i="13" s="1"/>
  <c r="M50" i="33"/>
  <c r="C50" i="33" s="1"/>
  <c r="C36" i="33"/>
  <c r="D36" i="33" s="1"/>
  <c r="AR47" i="33"/>
  <c r="AR48" i="33"/>
  <c r="AM45" i="33"/>
  <c r="AR19" i="33"/>
  <c r="AO19" i="33" s="1"/>
  <c r="AP19" i="33" s="1"/>
  <c r="J45" i="33"/>
  <c r="J20" i="33"/>
  <c r="AR18" i="33"/>
  <c r="J44" i="33"/>
  <c r="AR46" i="33"/>
  <c r="M45" i="13"/>
  <c r="C45" i="13" s="1"/>
  <c r="M58" i="13"/>
  <c r="AR58" i="13" s="1"/>
  <c r="AR36" i="33"/>
  <c r="M62" i="13"/>
  <c r="C62" i="13" s="1"/>
  <c r="AR16" i="13"/>
  <c r="AR36" i="13" s="1"/>
  <c r="AR42" i="13" s="1"/>
  <c r="AM57" i="15"/>
  <c r="AR57" i="15"/>
  <c r="AR48" i="15"/>
  <c r="AR43" i="15"/>
  <c r="AR45" i="15"/>
  <c r="AR46" i="15"/>
  <c r="AR35" i="15"/>
  <c r="AR41" i="15" s="1"/>
  <c r="AR47" i="15"/>
  <c r="AR44" i="15"/>
  <c r="AM58" i="13"/>
  <c r="M47" i="13"/>
  <c r="C47" i="13" s="1"/>
  <c r="M49" i="13"/>
  <c r="C49" i="13" s="1"/>
  <c r="M48" i="13"/>
  <c r="C48" i="13" s="1"/>
  <c r="M36" i="13"/>
  <c r="M42" i="13" s="1"/>
  <c r="C42" i="13" s="1"/>
  <c r="D42" i="13" s="1"/>
  <c r="M46" i="13"/>
  <c r="C46" i="13" s="1"/>
  <c r="M49" i="33"/>
  <c r="C49" i="33" s="1"/>
  <c r="M48" i="33"/>
  <c r="C48" i="33" s="1"/>
  <c r="AM44" i="33"/>
  <c r="M59" i="15"/>
  <c r="C59" i="15" s="1"/>
  <c r="D59" i="15" s="1"/>
  <c r="M60" i="33"/>
  <c r="AR50" i="33" l="1"/>
  <c r="AR42" i="33"/>
  <c r="M63" i="13"/>
  <c r="C63" i="13" s="1"/>
  <c r="M60" i="13"/>
  <c r="C60" i="13" s="1"/>
  <c r="D60" i="13" s="1"/>
  <c r="C58" i="13"/>
  <c r="D58" i="13" s="1"/>
  <c r="AR45" i="13"/>
  <c r="M50" i="13"/>
  <c r="C50" i="13" s="1"/>
  <c r="C36" i="13"/>
  <c r="D36" i="13" s="1"/>
  <c r="AR60" i="33"/>
  <c r="C60" i="33"/>
  <c r="D60" i="33" s="1"/>
  <c r="AR45" i="33"/>
  <c r="AO18" i="33"/>
  <c r="AP18" i="33" s="1"/>
  <c r="AR20" i="33"/>
  <c r="AR44" i="33"/>
  <c r="AR46" i="13"/>
  <c r="AR48" i="13"/>
  <c r="AR49" i="13"/>
  <c r="AR62" i="13"/>
  <c r="AR44" i="13"/>
  <c r="AR47" i="13"/>
  <c r="AR49" i="15"/>
  <c r="AR59" i="15"/>
  <c r="AR63" i="13"/>
  <c r="AR50" i="13"/>
  <c r="AR60" i="13" l="1"/>
  <c r="AR64" i="13" s="1"/>
  <c r="M64" i="13"/>
  <c r="C64" i="13" s="1"/>
  <c r="AS32" i="15" l="1"/>
  <c r="AO32" i="15" s="1"/>
  <c r="BJ26" i="1" l="1"/>
  <c r="BK26" i="1"/>
  <c r="BL26" i="1"/>
  <c r="BL30" i="1" l="1"/>
  <c r="BK30" i="1"/>
  <c r="BJ28" i="1"/>
  <c r="BJ30" i="1" l="1"/>
  <c r="E74" i="26" l="1"/>
  <c r="E75" i="26"/>
  <c r="E76" i="26"/>
  <c r="E77" i="26"/>
  <c r="E73" i="26"/>
  <c r="N15" i="15" l="1"/>
  <c r="N14" i="33" l="1"/>
  <c r="N51" i="15"/>
  <c r="AS14" i="33" l="1"/>
  <c r="AO14" i="33" s="1"/>
  <c r="AP14" i="33" s="1"/>
  <c r="AS15" i="33"/>
  <c r="AO15" i="33" s="1"/>
  <c r="N16" i="33"/>
  <c r="N70" i="15"/>
  <c r="AS69" i="15"/>
  <c r="AS68" i="15"/>
  <c r="AS67" i="15"/>
  <c r="AS66" i="15"/>
  <c r="AS65" i="15"/>
  <c r="AS64" i="15"/>
  <c r="AS33" i="15"/>
  <c r="AO33" i="15" s="1"/>
  <c r="AS31" i="15"/>
  <c r="AO31" i="15" s="1"/>
  <c r="AS30" i="15"/>
  <c r="AO30" i="15" s="1"/>
  <c r="AP30" i="15" s="1"/>
  <c r="AS29" i="15"/>
  <c r="AO29" i="15" s="1"/>
  <c r="AP29" i="15" s="1"/>
  <c r="AS28" i="15"/>
  <c r="AO28" i="15" s="1"/>
  <c r="AP28" i="15" s="1"/>
  <c r="AS27" i="15"/>
  <c r="AO27" i="15" s="1"/>
  <c r="AP27" i="15" s="1"/>
  <c r="AS26" i="15"/>
  <c r="AO26" i="15" s="1"/>
  <c r="AP26" i="15" s="1"/>
  <c r="AS25" i="15"/>
  <c r="AO25" i="15" s="1"/>
  <c r="AP25" i="15" s="1"/>
  <c r="AS24" i="15"/>
  <c r="AO24" i="15" s="1"/>
  <c r="AP24" i="15" s="1"/>
  <c r="AS23" i="15"/>
  <c r="AO23" i="15" s="1"/>
  <c r="AP23" i="15" s="1"/>
  <c r="AS21" i="15"/>
  <c r="AO21" i="15" s="1"/>
  <c r="AP21" i="15" s="1"/>
  <c r="N34" i="15"/>
  <c r="N58" i="15" s="1"/>
  <c r="N17" i="15"/>
  <c r="AS72" i="15"/>
  <c r="AS67" i="33"/>
  <c r="AS68" i="33"/>
  <c r="AS69" i="33"/>
  <c r="AS70" i="33"/>
  <c r="AS66" i="33"/>
  <c r="AS65" i="33"/>
  <c r="R35" i="33"/>
  <c r="S35" i="33"/>
  <c r="T35" i="33"/>
  <c r="U35" i="33"/>
  <c r="V35" i="33"/>
  <c r="AS24" i="33"/>
  <c r="AO24" i="33" s="1"/>
  <c r="AP24" i="33" s="1"/>
  <c r="AS25" i="33"/>
  <c r="AO25" i="33" s="1"/>
  <c r="AP25" i="33" s="1"/>
  <c r="AS26" i="33"/>
  <c r="AO26" i="33" s="1"/>
  <c r="AP26" i="33" s="1"/>
  <c r="AS27" i="33"/>
  <c r="AO27" i="33" s="1"/>
  <c r="AP27" i="33" s="1"/>
  <c r="AS28" i="33"/>
  <c r="AO28" i="33" s="1"/>
  <c r="AP28" i="33" s="1"/>
  <c r="AS29" i="33"/>
  <c r="AO29" i="33" s="1"/>
  <c r="AP29" i="33" s="1"/>
  <c r="AS30" i="33"/>
  <c r="AO30" i="33" s="1"/>
  <c r="AP30" i="33" s="1"/>
  <c r="N52" i="33"/>
  <c r="AS22" i="33"/>
  <c r="AS70" i="13"/>
  <c r="AS71" i="13"/>
  <c r="AS72" i="13"/>
  <c r="AS73" i="13"/>
  <c r="AS74" i="13"/>
  <c r="AS69" i="13"/>
  <c r="N77" i="13"/>
  <c r="AS22" i="13"/>
  <c r="AO22" i="13" s="1"/>
  <c r="AP22" i="13" s="1"/>
  <c r="AS23" i="13"/>
  <c r="AO23" i="13" s="1"/>
  <c r="AP23" i="13" s="1"/>
  <c r="AS24" i="13"/>
  <c r="AO24" i="13" s="1"/>
  <c r="AP24" i="13" s="1"/>
  <c r="AS25" i="13"/>
  <c r="AO25" i="13" s="1"/>
  <c r="AP25" i="13" s="1"/>
  <c r="AS26" i="13"/>
  <c r="AO26" i="13" s="1"/>
  <c r="AP26" i="13" s="1"/>
  <c r="AS27" i="13"/>
  <c r="AO27" i="13" s="1"/>
  <c r="AP27" i="13" s="1"/>
  <c r="AS29" i="13"/>
  <c r="AO29" i="13" s="1"/>
  <c r="AP29" i="13" s="1"/>
  <c r="AS31" i="13"/>
  <c r="AO31" i="13" s="1"/>
  <c r="AP31" i="13" s="1"/>
  <c r="AS32" i="13"/>
  <c r="AS33" i="13"/>
  <c r="AS34" i="13"/>
  <c r="N47" i="15" l="1"/>
  <c r="N48" i="33"/>
  <c r="AS52" i="33"/>
  <c r="AO52" i="33" s="1"/>
  <c r="AS70" i="15"/>
  <c r="N57" i="15"/>
  <c r="N43" i="15"/>
  <c r="N44" i="15"/>
  <c r="N47" i="33"/>
  <c r="N44" i="33"/>
  <c r="N45" i="33"/>
  <c r="N46" i="33"/>
  <c r="AS16" i="33"/>
  <c r="AO16" i="33" s="1"/>
  <c r="AP16" i="33" s="1"/>
  <c r="N58" i="33"/>
  <c r="N35" i="15"/>
  <c r="N41" i="15" s="1"/>
  <c r="AS51" i="15"/>
  <c r="AO51" i="15" s="1"/>
  <c r="AP51" i="15" s="1"/>
  <c r="N45" i="15"/>
  <c r="N46" i="15"/>
  <c r="N48" i="15"/>
  <c r="N71" i="33"/>
  <c r="AS71" i="33"/>
  <c r="AS75" i="13"/>
  <c r="N59" i="15" l="1"/>
  <c r="N49" i="15"/>
  <c r="AS45" i="33"/>
  <c r="AO45" i="33" s="1"/>
  <c r="AS44" i="33"/>
  <c r="AO44" i="33" s="1"/>
  <c r="AS46" i="33"/>
  <c r="AO46" i="33" s="1"/>
  <c r="O28" i="13" l="1"/>
  <c r="O30" i="13"/>
  <c r="O22" i="15"/>
  <c r="O23" i="33"/>
  <c r="O21" i="13"/>
  <c r="O20" i="13"/>
  <c r="AS21" i="13" l="1"/>
  <c r="AO21" i="13" s="1"/>
  <c r="AP21" i="13" s="1"/>
  <c r="AN21" i="13"/>
  <c r="AS22" i="15"/>
  <c r="AO22" i="15" s="1"/>
  <c r="AP22" i="15" s="1"/>
  <c r="AN22" i="15"/>
  <c r="AS20" i="13"/>
  <c r="AN20" i="13"/>
  <c r="AS23" i="33"/>
  <c r="AO23" i="33" s="1"/>
  <c r="AP23" i="33" s="1"/>
  <c r="AN23" i="33"/>
  <c r="AS30" i="13"/>
  <c r="AN30" i="13"/>
  <c r="AS28" i="13"/>
  <c r="AO28" i="13" s="1"/>
  <c r="AP28" i="13" s="1"/>
  <c r="AN28" i="13"/>
  <c r="AS47" i="33"/>
  <c r="AO47" i="33" s="1"/>
  <c r="AS34" i="15"/>
  <c r="AO34" i="15" s="1"/>
  <c r="AP34" i="15" s="1"/>
  <c r="AS35" i="13" l="1"/>
  <c r="AO35" i="13" s="1"/>
  <c r="AP35" i="13" s="1"/>
  <c r="AN35" i="13"/>
  <c r="O15" i="15" l="1"/>
  <c r="O14" i="15"/>
  <c r="O77" i="13"/>
  <c r="O70" i="15"/>
  <c r="O51" i="15"/>
  <c r="O34" i="15"/>
  <c r="O71" i="33"/>
  <c r="O52" i="33"/>
  <c r="O16" i="33"/>
  <c r="O46" i="33"/>
  <c r="O75" i="13"/>
  <c r="BJ46" i="8"/>
  <c r="BK46" i="8"/>
  <c r="BL46" i="8"/>
  <c r="BM46" i="8"/>
  <c r="O58" i="15" l="1"/>
  <c r="O44" i="33"/>
  <c r="O45" i="33"/>
  <c r="AN51" i="15"/>
  <c r="AN77" i="13"/>
  <c r="AN52" i="33"/>
  <c r="O17" i="15"/>
  <c r="O44" i="15" s="1"/>
  <c r="O47" i="33"/>
  <c r="AN34" i="15"/>
  <c r="AS77" i="13"/>
  <c r="AO77" i="13" s="1"/>
  <c r="AP77" i="13" s="1"/>
  <c r="AM34" i="15"/>
  <c r="O58" i="33"/>
  <c r="AM35" i="33"/>
  <c r="AM48" i="33" s="1"/>
  <c r="BJ75" i="8"/>
  <c r="BK75" i="8"/>
  <c r="BL75" i="8"/>
  <c r="BM75" i="8"/>
  <c r="BJ50" i="8"/>
  <c r="BJ17" i="1" s="1"/>
  <c r="BJ16" i="1" s="1"/>
  <c r="BK50" i="8"/>
  <c r="BK17" i="1" s="1"/>
  <c r="BK16" i="1" s="1"/>
  <c r="BL50" i="8"/>
  <c r="BL17" i="1" s="1"/>
  <c r="BL16" i="1" s="1"/>
  <c r="BM50" i="8"/>
  <c r="BM17" i="1" s="1"/>
  <c r="BM16" i="1" s="1"/>
  <c r="P52" i="33"/>
  <c r="BN64" i="34"/>
  <c r="BN69" i="34" s="1"/>
  <c r="BN80" i="34" s="1"/>
  <c r="BP51" i="34"/>
  <c r="BO51" i="34"/>
  <c r="BN51" i="34"/>
  <c r="BO33" i="34"/>
  <c r="BO43" i="34" s="1"/>
  <c r="BN33" i="34"/>
  <c r="BN43" i="34" s="1"/>
  <c r="AK71" i="33"/>
  <c r="AJ71" i="33"/>
  <c r="AI71" i="33"/>
  <c r="AH71" i="33"/>
  <c r="AG71" i="33"/>
  <c r="AF71" i="33"/>
  <c r="AE71" i="33"/>
  <c r="AD71" i="33"/>
  <c r="AC71" i="33"/>
  <c r="AB71" i="33"/>
  <c r="AA71" i="33"/>
  <c r="Z71" i="33"/>
  <c r="U71" i="33"/>
  <c r="T71" i="33"/>
  <c r="S71" i="33"/>
  <c r="R71" i="33"/>
  <c r="Q71" i="33"/>
  <c r="P71" i="33"/>
  <c r="AU70" i="33"/>
  <c r="AT70" i="33"/>
  <c r="AU69" i="33"/>
  <c r="AT69" i="33"/>
  <c r="AU68" i="33"/>
  <c r="AT68" i="33"/>
  <c r="AU67" i="33"/>
  <c r="AT67" i="33"/>
  <c r="AY66" i="33"/>
  <c r="AY71" i="33" s="1"/>
  <c r="AX66" i="33"/>
  <c r="AX71" i="33" s="1"/>
  <c r="AW66" i="33"/>
  <c r="AW71" i="33" s="1"/>
  <c r="AV66" i="33"/>
  <c r="AV71" i="33" s="1"/>
  <c r="AT66" i="33"/>
  <c r="Y66" i="33"/>
  <c r="Y71" i="33" s="1"/>
  <c r="X66" i="33"/>
  <c r="X71" i="33" s="1"/>
  <c r="W66" i="33"/>
  <c r="W71" i="33" s="1"/>
  <c r="V66" i="33"/>
  <c r="V71" i="33" s="1"/>
  <c r="AU65" i="33"/>
  <c r="AT65" i="33"/>
  <c r="AN71" i="33"/>
  <c r="AM71" i="33"/>
  <c r="BB59" i="33"/>
  <c r="BA59" i="33"/>
  <c r="AZ59" i="33"/>
  <c r="AY59" i="33"/>
  <c r="BA58" i="33"/>
  <c r="AZ58" i="33"/>
  <c r="AY58" i="33"/>
  <c r="AU52" i="33"/>
  <c r="AZ36" i="33"/>
  <c r="AZ50" i="33" s="1"/>
  <c r="AY36" i="33"/>
  <c r="AY50" i="33" s="1"/>
  <c r="AX35" i="33"/>
  <c r="AX59" i="33" s="1"/>
  <c r="AW35" i="33"/>
  <c r="AV35" i="33"/>
  <c r="AK35" i="33"/>
  <c r="AJ35" i="33"/>
  <c r="AJ59" i="33" s="1"/>
  <c r="AI35" i="33"/>
  <c r="AH35" i="33"/>
  <c r="AH59" i="33" s="1"/>
  <c r="AG35" i="33"/>
  <c r="AF35" i="33"/>
  <c r="AF59" i="33" s="1"/>
  <c r="AE35" i="33"/>
  <c r="AD35" i="33"/>
  <c r="AD59" i="33" s="1"/>
  <c r="AC35" i="33"/>
  <c r="AB35" i="33"/>
  <c r="AB59" i="33" s="1"/>
  <c r="AA35" i="33"/>
  <c r="Z35" i="33"/>
  <c r="Z59" i="33" s="1"/>
  <c r="Y35" i="33"/>
  <c r="X35" i="33"/>
  <c r="X59" i="33" s="1"/>
  <c r="W35" i="33"/>
  <c r="V59" i="33"/>
  <c r="T59" i="33"/>
  <c r="AU30" i="33"/>
  <c r="AT30" i="33"/>
  <c r="AU29" i="33"/>
  <c r="AT29" i="33"/>
  <c r="AU28" i="33"/>
  <c r="AT28" i="33"/>
  <c r="AU27" i="33"/>
  <c r="AT27" i="33"/>
  <c r="AU26" i="33"/>
  <c r="AT26" i="33"/>
  <c r="AU25" i="33"/>
  <c r="AT25" i="33"/>
  <c r="AU24" i="33"/>
  <c r="AT24" i="33"/>
  <c r="AU23" i="33"/>
  <c r="AT23" i="33"/>
  <c r="Q20" i="33"/>
  <c r="Q35" i="33" s="1"/>
  <c r="P20" i="33"/>
  <c r="AX20" i="33"/>
  <c r="AW20" i="33"/>
  <c r="AV20" i="33"/>
  <c r="AU20" i="33"/>
  <c r="AT20" i="33"/>
  <c r="AK20" i="33"/>
  <c r="AJ20" i="33"/>
  <c r="AI20" i="33"/>
  <c r="AH20" i="33"/>
  <c r="AG20" i="33"/>
  <c r="AF20" i="33"/>
  <c r="AE20" i="33"/>
  <c r="AD20" i="33"/>
  <c r="AC20" i="33"/>
  <c r="AB20" i="33"/>
  <c r="AA20" i="33"/>
  <c r="Z20" i="33"/>
  <c r="Y20" i="33"/>
  <c r="X20" i="33"/>
  <c r="W20" i="33"/>
  <c r="V20" i="33"/>
  <c r="U20" i="33"/>
  <c r="T20" i="33"/>
  <c r="S20" i="33"/>
  <c r="R20" i="33"/>
  <c r="AX16" i="33"/>
  <c r="AW16" i="33"/>
  <c r="AV16" i="33"/>
  <c r="AK16" i="33"/>
  <c r="AJ16" i="33"/>
  <c r="AI16" i="33"/>
  <c r="AH16" i="33"/>
  <c r="AG16" i="33"/>
  <c r="AF16" i="33"/>
  <c r="AE16" i="33"/>
  <c r="AD16" i="33"/>
  <c r="AC16" i="33"/>
  <c r="AB16" i="33"/>
  <c r="AA16" i="33"/>
  <c r="Z16" i="33"/>
  <c r="Y16" i="33"/>
  <c r="X16" i="33"/>
  <c r="W16" i="33"/>
  <c r="V16" i="33"/>
  <c r="U16" i="33"/>
  <c r="T16" i="33"/>
  <c r="S16" i="33"/>
  <c r="R16" i="33"/>
  <c r="Q16" i="33"/>
  <c r="P16" i="33"/>
  <c r="AU14" i="33"/>
  <c r="AU16" i="33" s="1"/>
  <c r="AT14" i="33"/>
  <c r="AT16" i="33" s="1"/>
  <c r="AN47" i="33"/>
  <c r="AT35" i="33" l="1"/>
  <c r="O46" i="15"/>
  <c r="O57" i="15"/>
  <c r="O59" i="15" s="1"/>
  <c r="O48" i="15"/>
  <c r="O35" i="15"/>
  <c r="O43" i="15"/>
  <c r="O45" i="15"/>
  <c r="Q44" i="33"/>
  <c r="Q45" i="33"/>
  <c r="S44" i="33"/>
  <c r="S45" i="33"/>
  <c r="S48" i="33"/>
  <c r="U44" i="33"/>
  <c r="U45" i="33"/>
  <c r="W44" i="33"/>
  <c r="W45" i="33"/>
  <c r="Y58" i="33"/>
  <c r="Y44" i="33"/>
  <c r="Y45" i="33"/>
  <c r="AA58" i="33"/>
  <c r="AA44" i="33"/>
  <c r="AA45" i="33"/>
  <c r="AC58" i="33"/>
  <c r="AC44" i="33"/>
  <c r="AC45" i="33"/>
  <c r="AE58" i="33"/>
  <c r="AE44" i="33"/>
  <c r="AE45" i="33"/>
  <c r="AG58" i="33"/>
  <c r="AG44" i="33"/>
  <c r="AG45" i="33"/>
  <c r="AI58" i="33"/>
  <c r="AI44" i="33"/>
  <c r="AI45" i="33"/>
  <c r="AK58" i="33"/>
  <c r="AK44" i="33"/>
  <c r="AK45" i="33"/>
  <c r="AW45" i="33"/>
  <c r="AW44" i="33"/>
  <c r="Q48" i="33"/>
  <c r="AT48" i="33"/>
  <c r="AW59" i="33"/>
  <c r="AW48" i="33"/>
  <c r="AU45" i="33"/>
  <c r="AU44" i="33"/>
  <c r="AT45" i="33"/>
  <c r="AT44" i="33"/>
  <c r="P45" i="33"/>
  <c r="P44" i="33"/>
  <c r="R45" i="33"/>
  <c r="R44" i="33"/>
  <c r="R48" i="33"/>
  <c r="T45" i="33"/>
  <c r="T44" i="33"/>
  <c r="V45" i="33"/>
  <c r="V44" i="33"/>
  <c r="X36" i="33"/>
  <c r="X50" i="33" s="1"/>
  <c r="X45" i="33"/>
  <c r="X44" i="33"/>
  <c r="Z36" i="33"/>
  <c r="Z50" i="33" s="1"/>
  <c r="Z45" i="33"/>
  <c r="Z44" i="33"/>
  <c r="AB36" i="33"/>
  <c r="AB50" i="33" s="1"/>
  <c r="AB45" i="33"/>
  <c r="AB44" i="33"/>
  <c r="AD36" i="33"/>
  <c r="AD50" i="33" s="1"/>
  <c r="AD45" i="33"/>
  <c r="AD44" i="33"/>
  <c r="AF36" i="33"/>
  <c r="AF50" i="33" s="1"/>
  <c r="AF45" i="33"/>
  <c r="AF44" i="33"/>
  <c r="AH36" i="33"/>
  <c r="AH50" i="33" s="1"/>
  <c r="AH45" i="33"/>
  <c r="AH44" i="33"/>
  <c r="AJ36" i="33"/>
  <c r="AJ50" i="33" s="1"/>
  <c r="AJ45" i="33"/>
  <c r="AJ44" i="33"/>
  <c r="AV44" i="33"/>
  <c r="AV45" i="33"/>
  <c r="AV59" i="33"/>
  <c r="AV48" i="33"/>
  <c r="O47" i="15"/>
  <c r="AY60" i="33"/>
  <c r="BA60" i="33"/>
  <c r="BN53" i="34"/>
  <c r="BP53" i="34"/>
  <c r="AT71" i="33"/>
  <c r="P35" i="33"/>
  <c r="P48" i="33" s="1"/>
  <c r="R36" i="33"/>
  <c r="R50" i="33" s="1"/>
  <c r="V36" i="33"/>
  <c r="V50" i="33" s="1"/>
  <c r="Q58" i="33"/>
  <c r="S58" i="33"/>
  <c r="U58" i="33"/>
  <c r="W58" i="33"/>
  <c r="Q49" i="33"/>
  <c r="AZ60" i="33"/>
  <c r="V82" i="33"/>
  <c r="X82" i="33"/>
  <c r="U82" i="33"/>
  <c r="AA82" i="33"/>
  <c r="AC82" i="33"/>
  <c r="AE82" i="33"/>
  <c r="AG82" i="33"/>
  <c r="AI82" i="33"/>
  <c r="AK82" i="33"/>
  <c r="P36" i="33"/>
  <c r="T36" i="33"/>
  <c r="T50" i="33" s="1"/>
  <c r="AV58" i="33"/>
  <c r="AX58" i="33"/>
  <c r="AX60" i="33" s="1"/>
  <c r="S49" i="33"/>
  <c r="U49" i="33"/>
  <c r="W49" i="33"/>
  <c r="Y49" i="33"/>
  <c r="AA49" i="33"/>
  <c r="AC49" i="33"/>
  <c r="AE49" i="33"/>
  <c r="AG49" i="33"/>
  <c r="AI49" i="33"/>
  <c r="AK49" i="33"/>
  <c r="W82" i="33"/>
  <c r="Y82" i="33"/>
  <c r="Z82" i="33"/>
  <c r="AB82" i="33"/>
  <c r="AD82" i="33"/>
  <c r="AF82" i="33"/>
  <c r="AH82" i="33"/>
  <c r="AJ82" i="33"/>
  <c r="R59" i="33"/>
  <c r="AT52" i="33"/>
  <c r="BM76" i="1"/>
  <c r="BM75" i="1" s="1"/>
  <c r="BM74" i="8"/>
  <c r="BK76" i="1"/>
  <c r="BK75" i="1" s="1"/>
  <c r="BK74" i="8"/>
  <c r="BL76" i="1"/>
  <c r="BL75" i="1" s="1"/>
  <c r="BL74" i="8"/>
  <c r="BJ76" i="1"/>
  <c r="BJ75" i="1" s="1"/>
  <c r="BJ74" i="8"/>
  <c r="AM46" i="33"/>
  <c r="AM47" i="33"/>
  <c r="AM36" i="33"/>
  <c r="BO53" i="34"/>
  <c r="AG80" i="34"/>
  <c r="AI80" i="34"/>
  <c r="AK80" i="34"/>
  <c r="AM80" i="34"/>
  <c r="AO80" i="34"/>
  <c r="AQ80" i="34"/>
  <c r="AS80" i="34"/>
  <c r="AU80" i="34"/>
  <c r="AW80" i="34"/>
  <c r="BK80" i="34"/>
  <c r="BM80" i="34"/>
  <c r="AH80" i="34"/>
  <c r="AJ80" i="34"/>
  <c r="AL80" i="34"/>
  <c r="AN80" i="34"/>
  <c r="AP80" i="34"/>
  <c r="AR80" i="34"/>
  <c r="AT80" i="34"/>
  <c r="AV80" i="34"/>
  <c r="BJ80" i="34"/>
  <c r="BL80" i="34"/>
  <c r="BO35" i="34"/>
  <c r="BN35" i="34"/>
  <c r="AT58" i="33"/>
  <c r="AT46" i="33"/>
  <c r="AT36" i="33"/>
  <c r="AT42" i="33" s="1"/>
  <c r="P50" i="33"/>
  <c r="AT59" i="33"/>
  <c r="AT49" i="33"/>
  <c r="AU58" i="33"/>
  <c r="AU47" i="33"/>
  <c r="AU35" i="33"/>
  <c r="Q36" i="33"/>
  <c r="S36" i="33"/>
  <c r="S50" i="33" s="1"/>
  <c r="U36" i="33"/>
  <c r="U50" i="33" s="1"/>
  <c r="W36" i="33"/>
  <c r="W50" i="33" s="1"/>
  <c r="Y36" i="33"/>
  <c r="Y50" i="33" s="1"/>
  <c r="AA36" i="33"/>
  <c r="AA50" i="33" s="1"/>
  <c r="AC36" i="33"/>
  <c r="AC50" i="33" s="1"/>
  <c r="AE36" i="33"/>
  <c r="AE50" i="33" s="1"/>
  <c r="AG36" i="33"/>
  <c r="AG50" i="33" s="1"/>
  <c r="AI36" i="33"/>
  <c r="AI50" i="33" s="1"/>
  <c r="AK36" i="33"/>
  <c r="AK50" i="33" s="1"/>
  <c r="AV36" i="33"/>
  <c r="AV50" i="33" s="1"/>
  <c r="AX36" i="33"/>
  <c r="AX50" i="33" s="1"/>
  <c r="AZ42" i="33"/>
  <c r="P46" i="33"/>
  <c r="R46" i="33"/>
  <c r="T46" i="33"/>
  <c r="V46" i="33"/>
  <c r="X46" i="33"/>
  <c r="Z46" i="33"/>
  <c r="AB46" i="33"/>
  <c r="AD46" i="33"/>
  <c r="AF46" i="33"/>
  <c r="AH46" i="33"/>
  <c r="AJ46" i="33"/>
  <c r="AN46" i="33"/>
  <c r="AV46" i="33"/>
  <c r="AX46" i="33"/>
  <c r="P47" i="33"/>
  <c r="R47" i="33"/>
  <c r="T47" i="33"/>
  <c r="V47" i="33"/>
  <c r="X47" i="33"/>
  <c r="Z47" i="33"/>
  <c r="AB47" i="33"/>
  <c r="AD47" i="33"/>
  <c r="AF47" i="33"/>
  <c r="AH47" i="33"/>
  <c r="AJ47" i="33"/>
  <c r="AT47" i="33"/>
  <c r="AV47" i="33"/>
  <c r="AX47" i="33"/>
  <c r="T48" i="33"/>
  <c r="V48" i="33"/>
  <c r="X48" i="33"/>
  <c r="Z48" i="33"/>
  <c r="AB48" i="33"/>
  <c r="AD48" i="33"/>
  <c r="AF48" i="33"/>
  <c r="AH48" i="33"/>
  <c r="AJ48" i="33"/>
  <c r="AX48" i="33"/>
  <c r="P49" i="33"/>
  <c r="R49" i="33"/>
  <c r="T49" i="33"/>
  <c r="V49" i="33"/>
  <c r="X49" i="33"/>
  <c r="Z49" i="33"/>
  <c r="AB49" i="33"/>
  <c r="AD49" i="33"/>
  <c r="AF49" i="33"/>
  <c r="AH49" i="33"/>
  <c r="AJ49" i="33"/>
  <c r="AV49" i="33"/>
  <c r="AX49" i="33"/>
  <c r="P58" i="33"/>
  <c r="AN58" i="33" s="1"/>
  <c r="R58" i="33"/>
  <c r="R60" i="33" s="1"/>
  <c r="T58" i="33"/>
  <c r="V58" i="33"/>
  <c r="V60" i="33" s="1"/>
  <c r="X58" i="33"/>
  <c r="X60" i="33" s="1"/>
  <c r="Z58" i="33"/>
  <c r="Z60" i="33" s="1"/>
  <c r="AB58" i="33"/>
  <c r="AB60" i="33" s="1"/>
  <c r="AD58" i="33"/>
  <c r="AD60" i="33" s="1"/>
  <c r="AF58" i="33"/>
  <c r="AF60" i="33" s="1"/>
  <c r="AH58" i="33"/>
  <c r="AH60" i="33" s="1"/>
  <c r="AJ58" i="33"/>
  <c r="AJ60" i="33" s="1"/>
  <c r="AW58" i="33"/>
  <c r="Q59" i="33"/>
  <c r="S59" i="33"/>
  <c r="U59" i="33"/>
  <c r="W59" i="33"/>
  <c r="W60" i="33" s="1"/>
  <c r="Y59" i="33"/>
  <c r="Y60" i="33" s="1"/>
  <c r="AA59" i="33"/>
  <c r="AA60" i="33" s="1"/>
  <c r="AC59" i="33"/>
  <c r="AC60" i="33" s="1"/>
  <c r="AE59" i="33"/>
  <c r="AG59" i="33"/>
  <c r="AG60" i="33" s="1"/>
  <c r="AI59" i="33"/>
  <c r="AK59" i="33"/>
  <c r="AU66" i="33"/>
  <c r="AU71" i="33" s="1"/>
  <c r="AW36" i="33"/>
  <c r="AW50" i="33" s="1"/>
  <c r="AY42" i="33"/>
  <c r="Q46" i="33"/>
  <c r="S46" i="33"/>
  <c r="U46" i="33"/>
  <c r="W46" i="33"/>
  <c r="Y46" i="33"/>
  <c r="AA46" i="33"/>
  <c r="AC46" i="33"/>
  <c r="AE46" i="33"/>
  <c r="AG46" i="33"/>
  <c r="AI46" i="33"/>
  <c r="AK46" i="33"/>
  <c r="AW46" i="33"/>
  <c r="Q47" i="33"/>
  <c r="S47" i="33"/>
  <c r="U47" i="33"/>
  <c r="W47" i="33"/>
  <c r="Y47" i="33"/>
  <c r="AA47" i="33"/>
  <c r="AC47" i="33"/>
  <c r="AE47" i="33"/>
  <c r="AG47" i="33"/>
  <c r="AI47" i="33"/>
  <c r="AK47" i="33"/>
  <c r="AW47" i="33"/>
  <c r="U48" i="33"/>
  <c r="W48" i="33"/>
  <c r="Y48" i="33"/>
  <c r="AA48" i="33"/>
  <c r="AC48" i="33"/>
  <c r="AE48" i="33"/>
  <c r="AG48" i="33"/>
  <c r="AI48" i="33"/>
  <c r="AK48" i="33"/>
  <c r="AW49" i="33"/>
  <c r="O49" i="15" l="1"/>
  <c r="O41" i="15"/>
  <c r="AK60" i="33"/>
  <c r="AI60" i="33"/>
  <c r="AV60" i="33"/>
  <c r="AE60" i="33"/>
  <c r="AW60" i="33"/>
  <c r="AU36" i="33"/>
  <c r="AU48" i="33"/>
  <c r="AS58" i="33"/>
  <c r="AO58" i="33" s="1"/>
  <c r="AP58" i="33" s="1"/>
  <c r="P59" i="33"/>
  <c r="Q50" i="33"/>
  <c r="S60" i="33"/>
  <c r="AT50" i="33"/>
  <c r="AT60" i="33"/>
  <c r="AM50" i="33"/>
  <c r="T60" i="33"/>
  <c r="P60" i="33"/>
  <c r="U60" i="33"/>
  <c r="Q60" i="33"/>
  <c r="AM49" i="33"/>
  <c r="AU59" i="33"/>
  <c r="AU60" i="33" s="1"/>
  <c r="AU49" i="33"/>
  <c r="AU50" i="33" l="1"/>
  <c r="AU42" i="33"/>
  <c r="AN35" i="33"/>
  <c r="AN48" i="33" s="1"/>
  <c r="AN49" i="33" l="1"/>
  <c r="AN36" i="33"/>
  <c r="AN50" i="33" l="1"/>
  <c r="P34" i="15" l="1"/>
  <c r="P58" i="15" s="1"/>
  <c r="P15" i="15"/>
  <c r="P14" i="15"/>
  <c r="P51" i="15"/>
  <c r="P70" i="15"/>
  <c r="AN70" i="15"/>
  <c r="P75" i="13"/>
  <c r="P35" i="13"/>
  <c r="P17" i="15" l="1"/>
  <c r="P47" i="15" s="1"/>
  <c r="P59" i="13"/>
  <c r="AM70" i="15"/>
  <c r="AM75" i="13"/>
  <c r="AT72" i="15"/>
  <c r="AT77" i="13"/>
  <c r="P43" i="15" l="1"/>
  <c r="P44" i="15"/>
  <c r="P45" i="15"/>
  <c r="P35" i="15"/>
  <c r="P41" i="15" s="1"/>
  <c r="P57" i="15"/>
  <c r="P46" i="15"/>
  <c r="P48" i="15"/>
  <c r="P59" i="15" l="1"/>
  <c r="P49" i="15"/>
  <c r="AT22" i="15" l="1"/>
  <c r="AT23" i="15"/>
  <c r="AT24" i="15"/>
  <c r="AT25" i="15"/>
  <c r="AT26" i="15"/>
  <c r="AT27" i="15"/>
  <c r="AT28" i="15"/>
  <c r="AT29" i="15"/>
  <c r="AT30" i="15"/>
  <c r="AT21" i="15"/>
  <c r="AT21" i="13"/>
  <c r="AT22" i="13"/>
  <c r="AT23" i="13"/>
  <c r="AT24" i="13"/>
  <c r="AT25" i="13"/>
  <c r="AT26" i="13"/>
  <c r="AT27" i="13"/>
  <c r="AT28" i="13"/>
  <c r="AT29" i="13"/>
  <c r="AT31" i="13"/>
  <c r="AT20" i="13"/>
  <c r="R35" i="13"/>
  <c r="AT47" i="15" l="1"/>
  <c r="AT34" i="15"/>
  <c r="AT45" i="15"/>
  <c r="AT46" i="15"/>
  <c r="AT35" i="15"/>
  <c r="AT48" i="15"/>
  <c r="AT47" i="13"/>
  <c r="AT46" i="13"/>
  <c r="AT48" i="13"/>
  <c r="AT35" i="13"/>
  <c r="R14" i="13"/>
  <c r="S14" i="13"/>
  <c r="R15" i="13"/>
  <c r="S15" i="13"/>
  <c r="T15" i="13"/>
  <c r="T14" i="13"/>
  <c r="Q51" i="15"/>
  <c r="Q15" i="15"/>
  <c r="Q14" i="15"/>
  <c r="AN14" i="15" s="1"/>
  <c r="R17" i="15"/>
  <c r="S17" i="15"/>
  <c r="T17" i="15"/>
  <c r="U17" i="15"/>
  <c r="U57" i="15" s="1"/>
  <c r="R34" i="15"/>
  <c r="R47" i="15" s="1"/>
  <c r="S34" i="15"/>
  <c r="S47" i="15" s="1"/>
  <c r="T34" i="15"/>
  <c r="T58" i="15" s="1"/>
  <c r="U34" i="15"/>
  <c r="U58" i="15" s="1"/>
  <c r="R45" i="15"/>
  <c r="S45" i="15"/>
  <c r="T45" i="15"/>
  <c r="R46" i="15"/>
  <c r="S46" i="15"/>
  <c r="T46" i="15"/>
  <c r="T47" i="15"/>
  <c r="U47" i="15"/>
  <c r="R48" i="15"/>
  <c r="AF90" i="8"/>
  <c r="R59" i="13"/>
  <c r="S35" i="13"/>
  <c r="S59" i="13" s="1"/>
  <c r="T35" i="13"/>
  <c r="T59" i="13" s="1"/>
  <c r="U35" i="13"/>
  <c r="U16" i="13"/>
  <c r="K81" i="26"/>
  <c r="E82" i="26" s="1"/>
  <c r="K78" i="26"/>
  <c r="D82" i="26" s="1"/>
  <c r="E78" i="26"/>
  <c r="E83" i="26" s="1"/>
  <c r="D78" i="26"/>
  <c r="D83" i="26" s="1"/>
  <c r="B78" i="26"/>
  <c r="K75" i="26"/>
  <c r="C82" i="26" s="1"/>
  <c r="C78" i="26"/>
  <c r="K72" i="26"/>
  <c r="B82" i="26" s="1"/>
  <c r="P52" i="13"/>
  <c r="Q70" i="15"/>
  <c r="Q34" i="15"/>
  <c r="P13" i="13"/>
  <c r="P14" i="13"/>
  <c r="P15" i="13"/>
  <c r="Q75" i="13"/>
  <c r="N75" i="13"/>
  <c r="O35" i="13"/>
  <c r="N35" i="13"/>
  <c r="Q15" i="13"/>
  <c r="O15" i="13"/>
  <c r="N15" i="13"/>
  <c r="Q14" i="13"/>
  <c r="O14" i="13"/>
  <c r="N14" i="13"/>
  <c r="O13" i="13"/>
  <c r="N13" i="13"/>
  <c r="AG90" i="8" l="1"/>
  <c r="AT49" i="15"/>
  <c r="AT41" i="15"/>
  <c r="T35" i="15"/>
  <c r="T49" i="15" s="1"/>
  <c r="U48" i="15"/>
  <c r="S35" i="15"/>
  <c r="S49" i="15" s="1"/>
  <c r="U46" i="15"/>
  <c r="T48" i="15"/>
  <c r="R35" i="15"/>
  <c r="R49" i="15" s="1"/>
  <c r="U35" i="15"/>
  <c r="U49" i="15" s="1"/>
  <c r="S48" i="15"/>
  <c r="U45" i="15"/>
  <c r="N59" i="13"/>
  <c r="O59" i="13"/>
  <c r="T57" i="15"/>
  <c r="T43" i="15"/>
  <c r="T44" i="15"/>
  <c r="R57" i="15"/>
  <c r="R59" i="15" s="1"/>
  <c r="R43" i="15"/>
  <c r="R44" i="15"/>
  <c r="C83" i="26"/>
  <c r="S44" i="15"/>
  <c r="S43" i="15"/>
  <c r="AN14" i="13"/>
  <c r="AN15" i="15"/>
  <c r="AN15" i="13"/>
  <c r="Q52" i="13"/>
  <c r="B83" i="26"/>
  <c r="AS15" i="15"/>
  <c r="AO15" i="15" s="1"/>
  <c r="AP15" i="15" s="1"/>
  <c r="R58" i="15"/>
  <c r="N52" i="13"/>
  <c r="E85" i="26"/>
  <c r="N21" i="33"/>
  <c r="AT36" i="13"/>
  <c r="AT49" i="13"/>
  <c r="AS14" i="13"/>
  <c r="AO14" i="13" s="1"/>
  <c r="AP14" i="13" s="1"/>
  <c r="AS15" i="13"/>
  <c r="AO15" i="13" s="1"/>
  <c r="AP15" i="13" s="1"/>
  <c r="AS14" i="15"/>
  <c r="AO14" i="15" s="1"/>
  <c r="AP14" i="15" s="1"/>
  <c r="U59" i="15"/>
  <c r="S58" i="15"/>
  <c r="S57" i="15"/>
  <c r="T59" i="15"/>
  <c r="U58" i="13"/>
  <c r="U48" i="13"/>
  <c r="O52" i="13"/>
  <c r="T13" i="13"/>
  <c r="R13" i="13"/>
  <c r="R16" i="13" s="1"/>
  <c r="R46" i="13" s="1"/>
  <c r="Q13" i="13"/>
  <c r="AN13" i="13" s="1"/>
  <c r="S13" i="13"/>
  <c r="Q17" i="15"/>
  <c r="P16" i="13"/>
  <c r="U49" i="13"/>
  <c r="N16" i="13"/>
  <c r="U47" i="13"/>
  <c r="O16" i="13"/>
  <c r="U46" i="13"/>
  <c r="U59" i="13"/>
  <c r="AT59" i="13" s="1"/>
  <c r="AT62" i="13" s="1"/>
  <c r="U36" i="13"/>
  <c r="U50" i="13" s="1"/>
  <c r="Q58" i="15"/>
  <c r="AN58" i="15" s="1"/>
  <c r="C85" i="26"/>
  <c r="B85" i="26"/>
  <c r="Q35" i="13"/>
  <c r="Q59" i="13" s="1"/>
  <c r="C57" i="26"/>
  <c r="BN15" i="8"/>
  <c r="BN18" i="8"/>
  <c r="AY65" i="15"/>
  <c r="AY70" i="13"/>
  <c r="AY71" i="13"/>
  <c r="BN88" i="1"/>
  <c r="B61" i="26"/>
  <c r="C61" i="26"/>
  <c r="D61" i="26"/>
  <c r="E61" i="26"/>
  <c r="K64" i="26"/>
  <c r="E63" i="26" s="1"/>
  <c r="K61" i="26"/>
  <c r="D63" i="26" s="1"/>
  <c r="D64" i="26" s="1"/>
  <c r="D66" i="26" s="1"/>
  <c r="K58" i="26"/>
  <c r="C63" i="26" s="1"/>
  <c r="K55" i="26"/>
  <c r="B63" i="26" s="1"/>
  <c r="B64" i="26" s="1"/>
  <c r="B66" i="26" s="1"/>
  <c r="BO1" i="8"/>
  <c r="BP1" i="8"/>
  <c r="BO2" i="8"/>
  <c r="BP2" i="8"/>
  <c r="BO3" i="8"/>
  <c r="BP3" i="8"/>
  <c r="BO4" i="8"/>
  <c r="BP4" i="8"/>
  <c r="BO5" i="8"/>
  <c r="BP5" i="8"/>
  <c r="BO6" i="8"/>
  <c r="BP6" i="8"/>
  <c r="BN36" i="8"/>
  <c r="BN71" i="8" s="1"/>
  <c r="AY73" i="13"/>
  <c r="AY68" i="15"/>
  <c r="AY70" i="15" s="1"/>
  <c r="BO14" i="12"/>
  <c r="BO30" i="12" s="1"/>
  <c r="AZ35" i="15"/>
  <c r="AZ41" i="15" s="1"/>
  <c r="BN13" i="12"/>
  <c r="BN14" i="12" s="1"/>
  <c r="BN30" i="12" s="1"/>
  <c r="B44" i="26"/>
  <c r="B47" i="26" s="1"/>
  <c r="B49" i="26" s="1"/>
  <c r="C44" i="26"/>
  <c r="C47" i="26" s="1"/>
  <c r="C49" i="26" s="1"/>
  <c r="D44" i="26"/>
  <c r="D47" i="26" s="1"/>
  <c r="D49" i="26" s="1"/>
  <c r="E44" i="26"/>
  <c r="K47" i="26"/>
  <c r="E47" i="26"/>
  <c r="E49" i="26" s="1"/>
  <c r="K44" i="26"/>
  <c r="K41" i="26"/>
  <c r="K38" i="26"/>
  <c r="AZ16" i="13"/>
  <c r="AZ36" i="13" s="1"/>
  <c r="AY16" i="13"/>
  <c r="AY36" i="13" s="1"/>
  <c r="AY17" i="15"/>
  <c r="AY35" i="15" s="1"/>
  <c r="K30" i="26"/>
  <c r="E29" i="26" s="1"/>
  <c r="BA57" i="15"/>
  <c r="BA58" i="15"/>
  <c r="AZ57" i="15"/>
  <c r="AZ58" i="15"/>
  <c r="AY58" i="15"/>
  <c r="K27" i="26"/>
  <c r="K24" i="26"/>
  <c r="K21" i="26"/>
  <c r="BO82" i="8"/>
  <c r="BO81" i="8"/>
  <c r="BO80" i="8"/>
  <c r="BO79" i="8"/>
  <c r="BO78" i="8"/>
  <c r="BO77" i="8"/>
  <c r="BO73" i="8"/>
  <c r="BO72" i="8"/>
  <c r="BO71" i="8"/>
  <c r="BN82" i="8"/>
  <c r="BN81" i="8"/>
  <c r="BN80" i="8"/>
  <c r="BN79" i="8"/>
  <c r="BN78" i="8"/>
  <c r="BN77" i="8"/>
  <c r="B27" i="26"/>
  <c r="B30" i="26" s="1"/>
  <c r="B32" i="26" s="1"/>
  <c r="C27" i="26"/>
  <c r="C30" i="26" s="1"/>
  <c r="C32" i="26" s="1"/>
  <c r="D27" i="26"/>
  <c r="D30" i="26" s="1"/>
  <c r="D32" i="26" s="1"/>
  <c r="E27" i="26"/>
  <c r="B11" i="26"/>
  <c r="B14" i="26" s="1"/>
  <c r="B16" i="26" s="1"/>
  <c r="C6" i="26"/>
  <c r="C8" i="26"/>
  <c r="C9" i="26"/>
  <c r="C10" i="26"/>
  <c r="D11" i="26"/>
  <c r="D14" i="26" s="1"/>
  <c r="D16" i="26" s="1"/>
  <c r="E11" i="26"/>
  <c r="E14" i="26" s="1"/>
  <c r="E16" i="26" s="1"/>
  <c r="AY57" i="15"/>
  <c r="AY59" i="15" s="1"/>
  <c r="AY58" i="13"/>
  <c r="AY60" i="13" s="1"/>
  <c r="AZ58" i="13"/>
  <c r="AZ60" i="13" s="1"/>
  <c r="AY75" i="13"/>
  <c r="AZ42" i="13"/>
  <c r="AZ50" i="13"/>
  <c r="BJ45" i="34" l="1"/>
  <c r="BN20" i="8"/>
  <c r="BN38" i="8" s="1"/>
  <c r="BN42" i="8" s="1"/>
  <c r="BN73" i="8" s="1"/>
  <c r="BH39" i="16"/>
  <c r="AT50" i="13"/>
  <c r="AT42" i="13"/>
  <c r="AT57" i="15"/>
  <c r="AT58" i="15"/>
  <c r="AN17" i="15"/>
  <c r="AN47" i="15" s="1"/>
  <c r="AZ59" i="15"/>
  <c r="BA59" i="15"/>
  <c r="C64" i="26"/>
  <c r="C66" i="26" s="1"/>
  <c r="E64" i="26"/>
  <c r="E66" i="26" s="1"/>
  <c r="AN59" i="13"/>
  <c r="Q48" i="15"/>
  <c r="Q47" i="15"/>
  <c r="AN52" i="13"/>
  <c r="P44" i="13"/>
  <c r="P45" i="13"/>
  <c r="R36" i="13"/>
  <c r="R44" i="13"/>
  <c r="R45" i="13"/>
  <c r="O48" i="13"/>
  <c r="O44" i="13"/>
  <c r="O45" i="13"/>
  <c r="N44" i="13"/>
  <c r="N45" i="13"/>
  <c r="Q57" i="15"/>
  <c r="Q59" i="15" s="1"/>
  <c r="Q43" i="15"/>
  <c r="Q44" i="15"/>
  <c r="Q35" i="15"/>
  <c r="P48" i="13"/>
  <c r="N58" i="13"/>
  <c r="N36" i="13"/>
  <c r="N42" i="13" s="1"/>
  <c r="AS58" i="15"/>
  <c r="Q45" i="15"/>
  <c r="AM17" i="15"/>
  <c r="AM46" i="15" s="1"/>
  <c r="R49" i="13"/>
  <c r="R58" i="13"/>
  <c r="R60" i="13" s="1"/>
  <c r="R64" i="13" s="1"/>
  <c r="AS52" i="13"/>
  <c r="AO52" i="13" s="1"/>
  <c r="AP52" i="13" s="1"/>
  <c r="O58" i="13"/>
  <c r="R62" i="13"/>
  <c r="D85" i="26"/>
  <c r="B87" i="26" s="1"/>
  <c r="O21" i="33"/>
  <c r="N20" i="33"/>
  <c r="AM59" i="15"/>
  <c r="AS17" i="15"/>
  <c r="AO17" i="15" s="1"/>
  <c r="AP17" i="15" s="1"/>
  <c r="AS13" i="13"/>
  <c r="AS59" i="13"/>
  <c r="N47" i="13"/>
  <c r="N49" i="13"/>
  <c r="N46" i="13"/>
  <c r="N48" i="13"/>
  <c r="N62" i="13"/>
  <c r="AY41" i="15"/>
  <c r="AY49" i="15"/>
  <c r="S59" i="15"/>
  <c r="AT59" i="15" s="1"/>
  <c r="AY50" i="13"/>
  <c r="AY42" i="13"/>
  <c r="R47" i="13"/>
  <c r="R48" i="13"/>
  <c r="U60" i="13"/>
  <c r="U64" i="13" s="1"/>
  <c r="O47" i="13"/>
  <c r="S16" i="13"/>
  <c r="AN16" i="13"/>
  <c r="AN48" i="13" s="1"/>
  <c r="O49" i="13"/>
  <c r="O46" i="13"/>
  <c r="Q16" i="13"/>
  <c r="T16" i="13"/>
  <c r="BP7" i="8"/>
  <c r="P47" i="13"/>
  <c r="P46" i="13"/>
  <c r="P49" i="13"/>
  <c r="AM16" i="13"/>
  <c r="AM48" i="13" s="1"/>
  <c r="P58" i="13"/>
  <c r="P36" i="13"/>
  <c r="P42" i="13" s="1"/>
  <c r="BO7" i="8"/>
  <c r="Q46" i="15"/>
  <c r="O36" i="13"/>
  <c r="O42" i="13" s="1"/>
  <c r="U62" i="13"/>
  <c r="U63" i="13"/>
  <c r="E30" i="26"/>
  <c r="E32" i="26" s="1"/>
  <c r="C11" i="26"/>
  <c r="C14" i="26" s="1"/>
  <c r="C16" i="26" s="1"/>
  <c r="O62" i="13"/>
  <c r="B68" i="26"/>
  <c r="B34" i="26"/>
  <c r="B18" i="26"/>
  <c r="B51" i="26"/>
  <c r="BN72" i="8" l="1"/>
  <c r="R50" i="13"/>
  <c r="R42" i="13"/>
  <c r="Q49" i="15"/>
  <c r="Q41" i="15"/>
  <c r="AN43" i="15"/>
  <c r="AS16" i="13"/>
  <c r="AO16" i="13" s="1"/>
  <c r="AP16" i="13" s="1"/>
  <c r="AO13" i="13"/>
  <c r="AP13" i="13" s="1"/>
  <c r="AN48" i="15"/>
  <c r="AN35" i="15"/>
  <c r="AN49" i="15" s="1"/>
  <c r="N63" i="13"/>
  <c r="R63" i="13"/>
  <c r="N50" i="13"/>
  <c r="N60" i="13"/>
  <c r="AN45" i="15"/>
  <c r="AN44" i="15"/>
  <c r="AN46" i="15"/>
  <c r="AS57" i="15"/>
  <c r="AM47" i="15"/>
  <c r="AS21" i="33"/>
  <c r="AN21" i="33"/>
  <c r="AN57" i="15"/>
  <c r="O50" i="13"/>
  <c r="O60" i="13"/>
  <c r="AM45" i="13"/>
  <c r="AM44" i="13"/>
  <c r="AN46" i="13"/>
  <c r="AN45" i="13"/>
  <c r="AN44" i="13"/>
  <c r="T48" i="13"/>
  <c r="T44" i="13"/>
  <c r="T45" i="13"/>
  <c r="Q47" i="13"/>
  <c r="Q44" i="13"/>
  <c r="Q45" i="13"/>
  <c r="S36" i="13"/>
  <c r="S44" i="13"/>
  <c r="S45" i="13"/>
  <c r="AS35" i="15"/>
  <c r="AS44" i="15"/>
  <c r="AO44" i="15" s="1"/>
  <c r="AS43" i="15"/>
  <c r="AO43" i="15" s="1"/>
  <c r="AM44" i="15"/>
  <c r="AM43" i="15"/>
  <c r="S46" i="13"/>
  <c r="O63" i="13"/>
  <c r="AM45" i="15"/>
  <c r="AM48" i="15"/>
  <c r="AN47" i="13"/>
  <c r="AM35" i="15"/>
  <c r="N36" i="33"/>
  <c r="N42" i="33" s="1"/>
  <c r="N49" i="33"/>
  <c r="N60" i="33"/>
  <c r="P50" i="13"/>
  <c r="Q36" i="13"/>
  <c r="Q42" i="13" s="1"/>
  <c r="Q49" i="13"/>
  <c r="Q58" i="13"/>
  <c r="AN58" i="13" s="1"/>
  <c r="AN49" i="13"/>
  <c r="O20" i="33"/>
  <c r="AS48" i="15"/>
  <c r="AO48" i="15" s="1"/>
  <c r="AS46" i="15"/>
  <c r="AO46" i="15" s="1"/>
  <c r="AS47" i="15"/>
  <c r="AO47" i="15" s="1"/>
  <c r="AS45" i="15"/>
  <c r="AO45" i="15" s="1"/>
  <c r="S48" i="13"/>
  <c r="Q46" i="13"/>
  <c r="Q48" i="13"/>
  <c r="AN36" i="13"/>
  <c r="AN50" i="13" s="1"/>
  <c r="AN62" i="13"/>
  <c r="AM60" i="13"/>
  <c r="S58" i="13"/>
  <c r="S62" i="13"/>
  <c r="S49" i="13"/>
  <c r="S47" i="13"/>
  <c r="T46" i="13"/>
  <c r="T49" i="13"/>
  <c r="T58" i="13"/>
  <c r="T36" i="13"/>
  <c r="T62" i="13"/>
  <c r="T47" i="13"/>
  <c r="AM36" i="13"/>
  <c r="AM49" i="13"/>
  <c r="AM47" i="13"/>
  <c r="AM62" i="13"/>
  <c r="AM46" i="13"/>
  <c r="P60" i="13"/>
  <c r="P63" i="13"/>
  <c r="P62" i="13"/>
  <c r="Q62" i="13"/>
  <c r="AS47" i="13" l="1"/>
  <c r="AO47" i="13" s="1"/>
  <c r="AS48" i="13"/>
  <c r="AO48" i="13" s="1"/>
  <c r="S50" i="13"/>
  <c r="S42" i="13"/>
  <c r="T50" i="13"/>
  <c r="T42" i="13"/>
  <c r="AO35" i="15"/>
  <c r="AP35" i="15" s="1"/>
  <c r="AS41" i="15"/>
  <c r="AS62" i="13"/>
  <c r="AO62" i="13" s="1"/>
  <c r="AS45" i="13"/>
  <c r="AO45" i="13" s="1"/>
  <c r="AS49" i="13"/>
  <c r="AO49" i="13" s="1"/>
  <c r="AS36" i="13"/>
  <c r="AS46" i="13"/>
  <c r="AO46" i="13" s="1"/>
  <c r="AS44" i="13"/>
  <c r="AO44" i="13" s="1"/>
  <c r="N64" i="13"/>
  <c r="AS20" i="33"/>
  <c r="AO21" i="33"/>
  <c r="AP21" i="33" s="1"/>
  <c r="AS59" i="15"/>
  <c r="AO59" i="15" s="1"/>
  <c r="AP59" i="15" s="1"/>
  <c r="AO57" i="15"/>
  <c r="AP57" i="15" s="1"/>
  <c r="N50" i="33"/>
  <c r="AN59" i="15"/>
  <c r="AN20" i="33"/>
  <c r="O64" i="13"/>
  <c r="AM49" i="15"/>
  <c r="AN60" i="13"/>
  <c r="P64" i="13"/>
  <c r="AS58" i="13"/>
  <c r="Q50" i="13"/>
  <c r="Q60" i="13"/>
  <c r="Q63" i="13"/>
  <c r="O35" i="33"/>
  <c r="AS49" i="15"/>
  <c r="AO49" i="15" s="1"/>
  <c r="S60" i="13"/>
  <c r="S63" i="13"/>
  <c r="T60" i="13"/>
  <c r="AT58" i="13"/>
  <c r="T63" i="13"/>
  <c r="AM63" i="13"/>
  <c r="AM50" i="13"/>
  <c r="AO36" i="13" l="1"/>
  <c r="AP36" i="13" s="1"/>
  <c r="AS42" i="13"/>
  <c r="AS50" i="13"/>
  <c r="AO50" i="13" s="1"/>
  <c r="AS35" i="33"/>
  <c r="AO20" i="33"/>
  <c r="AP20" i="33" s="1"/>
  <c r="AS60" i="13"/>
  <c r="AO58" i="13"/>
  <c r="AP58" i="13" s="1"/>
  <c r="O59" i="33"/>
  <c r="AS59" i="33" s="1"/>
  <c r="O48" i="33"/>
  <c r="AS63" i="13"/>
  <c r="AO63" i="13" s="1"/>
  <c r="Q64" i="13"/>
  <c r="AT63" i="13"/>
  <c r="O36" i="33"/>
  <c r="O42" i="33" s="1"/>
  <c r="O49" i="33"/>
  <c r="S64" i="13"/>
  <c r="AN64" i="13"/>
  <c r="AN63" i="13"/>
  <c r="T64" i="13"/>
  <c r="AT60" i="13"/>
  <c r="AM64" i="13"/>
  <c r="AS48" i="33" l="1"/>
  <c r="AO48" i="33" s="1"/>
  <c r="AO35" i="33"/>
  <c r="AP35" i="33" s="1"/>
  <c r="AS49" i="33"/>
  <c r="AO49" i="33" s="1"/>
  <c r="AS36" i="33"/>
  <c r="AS42" i="33" s="1"/>
  <c r="AS60" i="33"/>
  <c r="AO60" i="33" s="1"/>
  <c r="AP60" i="33" s="1"/>
  <c r="AO59" i="33"/>
  <c r="AP59" i="33" s="1"/>
  <c r="AS64" i="13"/>
  <c r="AO64" i="13" s="1"/>
  <c r="AO60" i="13"/>
  <c r="AP60" i="13" s="1"/>
  <c r="O50" i="33"/>
  <c r="AN59" i="33"/>
  <c r="AT64" i="13"/>
  <c r="O60" i="33"/>
  <c r="AM60" i="33"/>
  <c r="AS50" i="33" l="1"/>
  <c r="AO50" i="33" s="1"/>
  <c r="AO36" i="33"/>
  <c r="AP36" i="33" s="1"/>
  <c r="AN60" i="33"/>
</calcChain>
</file>

<file path=xl/comments1.xml><?xml version="1.0" encoding="utf-8"?>
<comments xmlns="http://schemas.openxmlformats.org/spreadsheetml/2006/main">
  <authors>
    <author>c_lee</author>
  </authors>
  <commentList>
    <comment ref="BJ14" author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comments2.xml><?xml version="1.0" encoding="utf-8"?>
<comments xmlns="http://schemas.openxmlformats.org/spreadsheetml/2006/main">
  <authors>
    <author>c_lee</author>
  </authors>
  <commentList>
    <comment ref="E80" authorId="0">
      <text>
        <r>
          <rPr>
            <b/>
            <sz val="8"/>
            <color indexed="81"/>
            <rFont val="Tahoma"/>
            <family val="2"/>
          </rPr>
          <t>c_lee:</t>
        </r>
        <r>
          <rPr>
            <sz val="8"/>
            <color indexed="81"/>
            <rFont val="Tahoma"/>
            <family val="2"/>
          </rPr>
          <t xml:space="preserve">
translated with March rate as Co acquired in March</t>
        </r>
      </text>
    </comment>
  </commentList>
</comments>
</file>

<file path=xl/sharedStrings.xml><?xml version="1.0" encoding="utf-8"?>
<sst xmlns="http://schemas.openxmlformats.org/spreadsheetml/2006/main" count="4110" uniqueCount="462">
  <si>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</si>
  <si>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</si>
  <si>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</si>
  <si>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</si>
  <si>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</si>
  <si>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</si>
  <si>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</si>
  <si>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</si>
  <si>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</si>
  <si>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</si>
  <si>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</si>
  <si>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</si>
  <si>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</si>
  <si>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</si>
  <si>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</si>
  <si>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</si>
  <si>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</si>
  <si>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</si>
  <si>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</si>
  <si>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</si>
  <si>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</si>
  <si>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</si>
  <si>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</si>
  <si>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</si>
  <si>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</si>
  <si>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</si>
  <si>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</si>
  <si>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</si>
  <si>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n.m.: not meaningful</t>
  </si>
  <si>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</si>
  <si>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</si>
  <si>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</si>
  <si>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</si>
  <si>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</si>
  <si>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</si>
  <si>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</si>
  <si>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</si>
  <si>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</si>
  <si>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</si>
  <si>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</si>
  <si>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</si>
  <si>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</si>
  <si>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</si>
  <si>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</si>
  <si>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</si>
  <si>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</si>
  <si>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</si>
  <si>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</si>
  <si>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</si>
  <si>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</si>
  <si>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</si>
  <si>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</si>
  <si>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</si>
  <si>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</si>
  <si>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</si>
  <si>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</si>
  <si>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</si>
  <si>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</si>
  <si>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</si>
  <si>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 compensation expense includes incentive compensation and salaries and benefits, but excludes hiring incentives and development group salary and benefits, which are included in development costs.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</si>
  <si>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</si>
  <si>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</si>
  <si>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</si>
  <si>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</si>
  <si>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</si>
  <si>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</si>
  <si>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</si>
  <si>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</si>
  <si>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</si>
  <si>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</si>
  <si>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</si>
  <si>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</si>
  <si>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</si>
  <si>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</si>
  <si>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</si>
  <si>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</si>
  <si>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</si>
  <si>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</si>
  <si>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</si>
  <si>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</si>
  <si>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</si>
  <si>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</si>
  <si>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</si>
  <si>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</si>
  <si>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</si>
  <si>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</si>
  <si>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</si>
  <si>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</si>
  <si>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</si>
  <si>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</si>
  <si>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</si>
  <si>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Corporate and Other</t>
  </si>
  <si>
    <t>Trading costs</t>
  </si>
  <si>
    <t>Total incentive compensation</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</si>
  <si>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</si>
  <si>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</si>
  <si>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</si>
  <si>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</si>
  <si>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</si>
  <si>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</si>
  <si>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</si>
  <si>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</si>
  <si>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</si>
  <si>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</si>
  <si>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</si>
  <si>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</si>
  <si>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</si>
  <si>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</si>
  <si>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</si>
  <si>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</si>
  <si>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</si>
  <si>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</si>
  <si>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</si>
  <si>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</si>
  <si>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</si>
  <si>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</si>
  <si>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</si>
  <si>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</si>
  <si>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</si>
  <si>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</si>
  <si>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</si>
  <si>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FY2008</t>
  </si>
  <si>
    <t>FY2009</t>
  </si>
  <si>
    <t>(all are YTD NHI numbers in GBP)</t>
  </si>
  <si>
    <t>Q1 08 YTD</t>
  </si>
  <si>
    <t>Q2 08 YTD</t>
  </si>
  <si>
    <t>Q3 08 YTD</t>
  </si>
  <si>
    <t>Q4 08 YTD</t>
  </si>
  <si>
    <t>Sales Draws - NHI</t>
  </si>
  <si>
    <t>Syndication Salaries NHI</t>
  </si>
  <si>
    <t>Research NHI</t>
  </si>
  <si>
    <t>Corporate Finance NHI</t>
  </si>
  <si>
    <t>Dealing NHI</t>
  </si>
  <si>
    <t>average rate</t>
  </si>
  <si>
    <t>Convert to CDN$</t>
  </si>
  <si>
    <t>YTD NHI</t>
  </si>
  <si>
    <t>NHI Calculation - UK</t>
  </si>
  <si>
    <t>Annualized ROE</t>
  </si>
  <si>
    <t>FY06</t>
  </si>
  <si>
    <t>FY05</t>
  </si>
  <si>
    <t>FY04</t>
  </si>
  <si>
    <t>Quarterly NHI</t>
  </si>
  <si>
    <t>Q1 rates</t>
  </si>
  <si>
    <t>Apr</t>
  </si>
  <si>
    <t>May</t>
  </si>
  <si>
    <t>June</t>
  </si>
  <si>
    <t>Average</t>
  </si>
  <si>
    <t>UK</t>
  </si>
  <si>
    <r>
      <t>Trading costs</t>
    </r>
    <r>
      <rPr>
        <vertAlign val="superscript"/>
        <sz val="9"/>
        <rFont val="Arial"/>
        <family val="2"/>
      </rPr>
      <t xml:space="preserve"> </t>
    </r>
  </si>
  <si>
    <t>The employee count excludes temporary employees and those on long term disability but includes employees on leave of absence.</t>
  </si>
  <si>
    <t>Q2 rates</t>
  </si>
  <si>
    <t>Q3 rates</t>
  </si>
  <si>
    <t>Jul</t>
  </si>
  <si>
    <t>Aug</t>
  </si>
  <si>
    <t>Sep</t>
  </si>
  <si>
    <t>Oct</t>
  </si>
  <si>
    <t>Nov</t>
  </si>
  <si>
    <t>Dec</t>
  </si>
  <si>
    <t>Impairment of goodwill and intangibles</t>
  </si>
  <si>
    <t>Canaccord relief program</t>
  </si>
  <si>
    <t>Restructuring costs</t>
  </si>
  <si>
    <t>Q4 rates</t>
  </si>
  <si>
    <t>Jan</t>
  </si>
  <si>
    <t>Feb</t>
  </si>
  <si>
    <t>Mar</t>
  </si>
  <si>
    <t>March</t>
  </si>
  <si>
    <t>January</t>
  </si>
  <si>
    <t>February</t>
  </si>
  <si>
    <t>FY2010</t>
  </si>
  <si>
    <t>Q1 10 YTD</t>
  </si>
  <si>
    <t>Q1 09 YTD</t>
  </si>
  <si>
    <t>Q2 09 YTD</t>
  </si>
  <si>
    <t>Q3 09 YTD</t>
  </si>
  <si>
    <t>Q4 09 YTD</t>
  </si>
  <si>
    <t>Q2 10 YTD</t>
  </si>
  <si>
    <t>Q3 10 YTD</t>
  </si>
  <si>
    <t>Q4 10 YTD</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</si>
  <si>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</si>
  <si>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</si>
  <si>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</si>
  <si>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</si>
  <si>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</si>
  <si>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</si>
  <si>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</si>
  <si>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</si>
  <si>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</si>
  <si>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</si>
  <si>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</si>
  <si>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</si>
  <si>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</si>
  <si>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</si>
  <si>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Hiring incentives</t>
  </si>
  <si>
    <t>Number of companies with Canaccord Genuity Limited as Broker</t>
  </si>
  <si>
    <t>FY2011</t>
  </si>
  <si>
    <t>-</t>
  </si>
  <si>
    <t>Loss before intersegment allocations and income taxes</t>
  </si>
  <si>
    <t>Total Nomad</t>
  </si>
  <si>
    <t xml:space="preserve">US </t>
  </si>
  <si>
    <t>Development group salary and benefits have been reclassified to salaries and benefits expense line starting in Q1/11.</t>
  </si>
  <si>
    <t xml:space="preserve">Q1 11 </t>
  </si>
  <si>
    <t xml:space="preserve">Q2 11 </t>
  </si>
  <si>
    <t xml:space="preserve">Q3 11 </t>
  </si>
  <si>
    <t xml:space="preserve">Q4 11 </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</si>
  <si>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</si>
  <si>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</si>
  <si>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</si>
  <si>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</si>
  <si>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</si>
  <si>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</si>
  <si>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</si>
  <si>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</si>
  <si>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</si>
  <si>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Condensed statement of operations</t>
    </r>
    <r>
      <rPr>
        <b/>
        <i/>
        <vertAlign val="superscript"/>
        <sz val="12"/>
        <rFont val="Arial"/>
        <family val="2"/>
      </rPr>
      <t xml:space="preserve"> (20) </t>
    </r>
  </si>
  <si>
    <r>
      <t xml:space="preserve">Condensed statement of operations </t>
    </r>
    <r>
      <rPr>
        <b/>
        <i/>
        <vertAlign val="superscript"/>
        <sz val="12"/>
        <rFont val="Arial"/>
        <family val="2"/>
      </rPr>
      <t xml:space="preserve">(17) </t>
    </r>
  </si>
  <si>
    <r>
      <t>Total compensation exp. as % of revenue</t>
    </r>
    <r>
      <rPr>
        <vertAlign val="superscript"/>
        <sz val="9"/>
        <rFont val="Arial"/>
        <family val="2"/>
      </rPr>
      <t xml:space="preserve"> (15)</t>
    </r>
  </si>
  <si>
    <r>
      <t xml:space="preserve">Condensed statement of operations </t>
    </r>
    <r>
      <rPr>
        <b/>
        <i/>
        <vertAlign val="superscript"/>
        <sz val="12"/>
        <rFont val="Arial"/>
        <family val="2"/>
      </rPr>
      <t>(21)</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</si>
  <si>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</si>
  <si>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</si>
  <si>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Trading NHI</t>
  </si>
  <si>
    <t>Q1/12</t>
  </si>
  <si>
    <t>Q4/12</t>
  </si>
  <si>
    <t>Q3/12</t>
  </si>
  <si>
    <t>Q2/12</t>
  </si>
  <si>
    <t>FY2012</t>
  </si>
  <si>
    <t>FY12</t>
  </si>
  <si>
    <t xml:space="preserve">Q1 12 </t>
  </si>
  <si>
    <t xml:space="preserve">Q2 12 </t>
  </si>
  <si>
    <t xml:space="preserve">Q3 12 </t>
  </si>
  <si>
    <t xml:space="preserve">Q4 12 </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</si>
  <si>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</si>
  <si>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</si>
  <si>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</si>
  <si>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</si>
  <si>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</si>
  <si>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</si>
  <si>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The price to book ratio is calculated based on the end of period share price and common shareholder's equity per diluted common share.</t>
  </si>
  <si>
    <t>US Funds Desk Salaries NI</t>
  </si>
  <si>
    <t>Sales Salaries - NI</t>
  </si>
  <si>
    <t>Accounts payable, accrued liabilities and other</t>
  </si>
  <si>
    <r>
      <t xml:space="preserve">Preferred share information </t>
    </r>
    <r>
      <rPr>
        <i/>
        <sz val="9"/>
        <rFont val="Arial"/>
        <family val="2"/>
      </rPr>
      <t>(thousands)</t>
    </r>
  </si>
  <si>
    <t>IFRS</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</si>
  <si>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</si>
  <si>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</si>
  <si>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</si>
  <si>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</si>
  <si>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</si>
  <si>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</si>
  <si>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</si>
  <si>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</si>
  <si>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</si>
  <si>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</si>
  <si>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</si>
  <si>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</si>
  <si>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r>
      <t xml:space="preserve">Supplementary Information Excluding Significant Items (Non-IFRS and Non-GAAP) </t>
    </r>
    <r>
      <rPr>
        <b/>
        <i/>
        <vertAlign val="superscript"/>
        <sz val="10"/>
        <rFont val="Arial"/>
        <family val="2"/>
      </rPr>
      <t>(16)</t>
    </r>
  </si>
  <si>
    <t>UK and Europe</t>
  </si>
  <si>
    <r>
      <t xml:space="preserve">UK and Europe </t>
    </r>
    <r>
      <rPr>
        <vertAlign val="superscript"/>
        <sz val="9"/>
        <rFont val="Arial"/>
        <family val="2"/>
      </rPr>
      <t>(17)</t>
    </r>
  </si>
  <si>
    <t>Number of employees in UK and Europe</t>
  </si>
  <si>
    <t>YTD</t>
  </si>
  <si>
    <t>Number of licenced professionals in Canada</t>
  </si>
  <si>
    <r>
      <t xml:space="preserve">Number of Advisory Teams in Canada </t>
    </r>
    <r>
      <rPr>
        <vertAlign val="superscript"/>
        <sz val="9"/>
        <rFont val="Arial"/>
        <family val="2"/>
      </rPr>
      <t>(19)</t>
    </r>
  </si>
  <si>
    <t>CSH NHI</t>
  </si>
  <si>
    <t>Short term credit facility</t>
  </si>
  <si>
    <t xml:space="preserve">and Canadian Corporate and Other operations. </t>
  </si>
  <si>
    <r>
      <t>Number of Advisory Teams in Canada</t>
    </r>
    <r>
      <rPr>
        <vertAlign val="superscript"/>
        <sz val="9"/>
        <rFont val="Arial"/>
        <family val="2"/>
      </rPr>
      <t xml:space="preserve"> (19)</t>
    </r>
  </si>
  <si>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</si>
  <si>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</si>
  <si>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</si>
  <si>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</si>
  <si>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</si>
  <si>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</si>
  <si>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t>Results of former Collins Stewart Hawkpoint ("CSHP") entities are included since March 22, 2012</t>
  </si>
  <si>
    <t xml:space="preserve">Total </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</si>
  <si>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</si>
  <si>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</si>
  <si>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</si>
  <si>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</si>
  <si>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</si>
  <si>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</si>
  <si>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</si>
  <si>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</si>
  <si>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</si>
  <si>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</si>
  <si>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</si>
  <si>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</si>
  <si>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</si>
  <si>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</si>
  <si>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FY2013</t>
  </si>
  <si>
    <t>FY13</t>
  </si>
  <si>
    <t>Q1 13</t>
  </si>
  <si>
    <t>Q2 13</t>
  </si>
  <si>
    <t>Q3 13</t>
  </si>
  <si>
    <t>Q4 13</t>
  </si>
  <si>
    <t>Salaries - NI (from John Reid)</t>
  </si>
  <si>
    <t>Number of Advisors - Australia</t>
  </si>
  <si>
    <r>
      <rPr>
        <b/>
        <i/>
        <sz val="12"/>
        <rFont val="Arial"/>
        <family val="2"/>
      </rPr>
      <t>Condensed Statement of Operations</t>
    </r>
    <r>
      <rPr>
        <sz val="9"/>
        <rFont val="Arial"/>
        <family val="2"/>
      </rPr>
      <t xml:space="preserve"> </t>
    </r>
  </si>
  <si>
    <t>Australia</t>
  </si>
  <si>
    <t>FY13 vs FY12</t>
  </si>
  <si>
    <r>
      <t>Facilitation losses</t>
    </r>
    <r>
      <rPr>
        <vertAlign val="superscript"/>
        <sz val="9"/>
        <rFont val="Arial"/>
        <family val="2"/>
      </rPr>
      <t xml:space="preserve"> (26)</t>
    </r>
  </si>
  <si>
    <r>
      <t>Facilitation losses</t>
    </r>
    <r>
      <rPr>
        <vertAlign val="superscript"/>
        <sz val="9"/>
        <rFont val="Arial"/>
        <family val="2"/>
      </rPr>
      <t xml:space="preserve"> (28)</t>
    </r>
  </si>
  <si>
    <r>
      <t>Total compensation exp. as % of revenue</t>
    </r>
    <r>
      <rPr>
        <vertAlign val="superscript"/>
        <sz val="9"/>
        <rFont val="Arial"/>
        <family val="2"/>
      </rPr>
      <t xml:space="preserve"> (15) </t>
    </r>
  </si>
  <si>
    <t>Consolidated statement of financial position</t>
  </si>
  <si>
    <r>
      <rPr>
        <b/>
        <i/>
        <sz val="12"/>
        <rFont val="Arial"/>
        <family val="2"/>
      </rPr>
      <t>Condensed Statement of Operations</t>
    </r>
    <r>
      <rPr>
        <sz val="9"/>
        <rFont val="Arial"/>
        <family val="2"/>
      </rPr>
      <t xml:space="preserve"> </t>
    </r>
    <r>
      <rPr>
        <vertAlign val="superscript"/>
        <sz val="9"/>
        <rFont val="Arial"/>
        <family val="2"/>
      </rPr>
      <t>(29)</t>
    </r>
  </si>
  <si>
    <r>
      <t xml:space="preserve">      National Insurance tax </t>
    </r>
    <r>
      <rPr>
        <vertAlign val="superscript"/>
        <sz val="9"/>
        <rFont val="Arial"/>
        <family val="2"/>
      </rPr>
      <t>(14)</t>
    </r>
  </si>
  <si>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</si>
  <si>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</si>
  <si>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</si>
  <si>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</si>
  <si>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</si>
  <si>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 xml:space="preserve">           Non-share based incentive compensation</t>
  </si>
  <si>
    <t xml:space="preserve">           Share based incentive compensation </t>
  </si>
  <si>
    <t>Note: Please find notes on Page 13.</t>
  </si>
  <si>
    <t>9 Months Ended</t>
  </si>
  <si>
    <t>Commissions and fees</t>
  </si>
  <si>
    <t>f.f.</t>
  </si>
  <si>
    <t>WM NHI</t>
  </si>
  <si>
    <t>Canaccord Genuity Wealth Management North America and Australia</t>
  </si>
  <si>
    <t>Canaccord Genuity Wealth Management</t>
  </si>
  <si>
    <t xml:space="preserve">Canaccord Genuity Wealth Management North America and Australia statement of operations </t>
  </si>
  <si>
    <t>Intersegment allocations from Corporate and Other</t>
  </si>
  <si>
    <t>Number in Canaccord Genuity Wealth Management</t>
  </si>
  <si>
    <r>
      <t>Results of former CSHP entities are included since March 22, 2012</t>
    </r>
    <r>
      <rPr>
        <i/>
        <vertAlign val="superscript"/>
        <sz val="10"/>
        <rFont val="Arial"/>
        <family val="2"/>
      </rPr>
      <t xml:space="preserve"> (31)</t>
    </r>
  </si>
  <si>
    <t>Result of former CSHP Wealth Management group since March 22, 2012 and the wealth management business of Eden Financial Ltd. since October 1, 2012 are included.</t>
  </si>
  <si>
    <t>Don MacFayden</t>
  </si>
  <si>
    <t>Senior Vice President, Finance</t>
  </si>
  <si>
    <t>416-687-5426</t>
  </si>
  <si>
    <t>includes WM: UK Private Clients departments and Eden NI</t>
  </si>
  <si>
    <t>Q1/14</t>
  </si>
  <si>
    <t>Q1/14 vs. Q1/13</t>
  </si>
  <si>
    <t>Q2/14</t>
  </si>
  <si>
    <t>Q3/14</t>
  </si>
  <si>
    <t>Q4/14</t>
  </si>
  <si>
    <t>FY2014</t>
  </si>
  <si>
    <t>FY14</t>
  </si>
  <si>
    <t>Q1 14</t>
  </si>
  <si>
    <t>Q2 14</t>
  </si>
  <si>
    <t>Q3 14</t>
  </si>
  <si>
    <t>Q4 14</t>
  </si>
  <si>
    <t>Support services allocation</t>
  </si>
  <si>
    <t>Inter-segment profit allocation</t>
  </si>
  <si>
    <t>Research allocation</t>
  </si>
  <si>
    <t>Trade processing</t>
  </si>
  <si>
    <t>Income (loss) before charges and income taxes</t>
  </si>
  <si>
    <t>Charges to UK</t>
  </si>
  <si>
    <t>Charges to US</t>
  </si>
  <si>
    <t>Charges from Canada</t>
  </si>
  <si>
    <t>Charges from US</t>
  </si>
  <si>
    <r>
      <t xml:space="preserve">      Incentive compensation </t>
    </r>
    <r>
      <rPr>
        <vertAlign val="superscript"/>
        <sz val="9"/>
        <rFont val="Arial"/>
        <family val="2"/>
      </rPr>
      <t>(14)</t>
    </r>
  </si>
  <si>
    <t>Intersegment allocations</t>
  </si>
  <si>
    <t>Canaccord Genuity Canada</t>
  </si>
  <si>
    <t xml:space="preserve">     Non-share based incentive compensation</t>
  </si>
  <si>
    <t xml:space="preserve">     Share based incentive compensation</t>
  </si>
  <si>
    <t>Intersegment Allocations</t>
  </si>
  <si>
    <t>Share based compensation as a % of revenue</t>
  </si>
  <si>
    <t>Income (loss) after intersegment allocations and before income taxes</t>
  </si>
  <si>
    <t xml:space="preserve">    Non-share based incentive compentation</t>
  </si>
  <si>
    <t xml:space="preserve">    Share based incentive compensation</t>
  </si>
  <si>
    <t xml:space="preserve">Canaccord Genuity Wealth Management North America </t>
  </si>
  <si>
    <t xml:space="preserve">Canaccord Genuity Other Foreign Locations statement of operations </t>
  </si>
  <si>
    <t>Canaccord Genuity US</t>
  </si>
  <si>
    <t>Includes wealth management operations in Australia.  Results for wealth management operations in Australia have been included starting April 1, 2012.</t>
  </si>
  <si>
    <t>Income (Loss) before income taxes</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</si>
  <si>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</si>
  <si>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</si>
  <si>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</si>
  <si>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</si>
  <si>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</si>
  <si>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</si>
  <si>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Revenue derived from capital markets activity outside of Canada, the US and UK and Europe is reported as Other Foreign Locations, which includes revenue from Canaccord Genuity (Barbados) Ltd. (formerly Canaccord International Ltd.), Canaccord Genuity</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</si>
  <si>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</si>
  <si>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</si>
  <si>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 xml:space="preserve">In accordance with IFRS 10  "Consolidated financial statements", the financial position, operating results and cash flows of Canaccord Genuity and Wealth Management's operations in Australia are fully consolidated, and a 50% non-controlling interest has </t>
  </si>
  <si>
    <t>Compensation in the form of restricted share units to be amortized over the vesting period  has been reclassified from share-based compensation expense to non-share based compensation expense commencing Q1/14.</t>
  </si>
  <si>
    <t>Net income (loss) attributable to common shareholders</t>
  </si>
  <si>
    <t>Q4/15</t>
  </si>
  <si>
    <t>Q3/15</t>
  </si>
  <si>
    <t>Q2/15</t>
  </si>
  <si>
    <t>Q1/15</t>
  </si>
  <si>
    <t>Christina Marinoff</t>
  </si>
  <si>
    <t>Vice President, Investor Relations &amp; Communications</t>
  </si>
  <si>
    <t>416-687-5507</t>
  </si>
  <si>
    <t>FY15 vs FY14</t>
  </si>
  <si>
    <t>n.m.: not meaningful (percentages above 300% are indicated as n.m.)</t>
  </si>
  <si>
    <t>Canaccord Genuity UK &amp; Europe</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</si>
  <si>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</si>
  <si>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</si>
  <si>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</si>
  <si>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</si>
  <si>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</si>
  <si>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Asia, our 50% interest in Canaccord Genuity (Australia) Limited (formerly Canaccord BGF), and Canaccord Singapore Pte. Ltd. Operating results of Canaccord Singapore Pte. Ltd have been included since March 22, 2012. During fiscal 2015, the non-controlling interest</t>
  </si>
  <si>
    <t>Canaccord Genuity Canada statement of operations</t>
  </si>
  <si>
    <t>Canaccord Genuity US statement of operations</t>
  </si>
  <si>
    <t>Canaccord Genuity UK &amp; Europe statement of operations</t>
  </si>
  <si>
    <t>Canaccord Genuity Group of Companies</t>
  </si>
  <si>
    <t>decreased from 50% to 40%.</t>
  </si>
  <si>
    <t>Canaccord Genuity North America</t>
  </si>
  <si>
    <t>Q1/16</t>
  </si>
  <si>
    <t>Q1/16 vs. Q1/15</t>
  </si>
  <si>
    <t>Q2/16</t>
  </si>
  <si>
    <t>Q3/16</t>
  </si>
  <si>
    <t>Q4/16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</si>
  <si>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</si>
  <si>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</si>
  <si>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</si>
  <si>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</si>
  <si>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</si>
  <si>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</si>
  <si>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</si>
  <si>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</si>
  <si>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</si>
  <si>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</si>
  <si>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</si>
  <si>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</si>
  <si>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</si>
  <si>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</si>
  <si>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Results of former CSHP entities are included since March 22, 2012 </t>
    </r>
    <r>
      <rPr>
        <i/>
        <vertAlign val="superscript"/>
        <sz val="10"/>
        <rFont val="Arial"/>
        <family val="2"/>
      </rPr>
      <t>(27)</t>
    </r>
  </si>
  <si>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</si>
  <si>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</si>
  <si>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</si>
  <si>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</si>
  <si>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Fee-based revenue includes fees earned in separately managed, advisor managed and fee-based accounts.  We are also including mutual fund and segregated fund trailer revenue in this calculation.  This method of calculating fee-based revenue may differ from </t>
  </si>
  <si>
    <t xml:space="preserve">approaches used by other companies and therefore may not be comparable.  </t>
  </si>
  <si>
    <t>Due to rounding, the sum of the quarterly earnings (loss) per common share figures may not equal the year to date period figures.</t>
  </si>
  <si>
    <t>number of Advisors, number of investment professionals and fund managers, number of licensed professionals, number of companies as Broker and number of companies as Nomad.</t>
  </si>
  <si>
    <t>This measure includes both discretionary and non-discretionary accounts.</t>
  </si>
  <si>
    <t>This is the diluted common share number used to calculated diluted earnings (loss) per common share. For periods with net losses, all instruments involving potential common shares were excluded from the calculation of diluted loss per common share as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</si>
  <si>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</si>
  <si>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</si>
  <si>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</si>
  <si>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Operating results from former CSHP entities have been included since March 22, 2012.</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</si>
  <si>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</si>
  <si>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</si>
  <si>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Other Foreign Locations </t>
    </r>
    <r>
      <rPr>
        <vertAlign val="superscript"/>
        <sz val="9"/>
        <rFont val="Arial"/>
        <family val="2"/>
      </rPr>
      <t>(23)</t>
    </r>
  </si>
  <si>
    <t>starting on July 16, 2012. During fiscal 2015, the non-controlling interest decreased from 50% to 40%.</t>
  </si>
  <si>
    <t xml:space="preserve">been recognized, which represents the portion of the net identifiable assets in Australia since November 1, 2011 attributable to non-controlling shareholders.  Canaccord BGF was rebranded to Canaccord Genuity and Canaccord Genuity Wealth Management </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</si>
  <si>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</si>
  <si>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</si>
  <si>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</si>
  <si>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</si>
  <si>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</si>
  <si>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t>offered by Canaccord. Assets under administration in Canada is the market value of client assets managed and administered by Canaccord, from which Canaccord earns commissions or fees.  This measure includes both discretionary and non-discretionary accounts.</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</si>
  <si>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</si>
  <si>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FY16 vs FY15</t>
  </si>
  <si>
    <t>Impairment of goodwill and other assets</t>
  </si>
  <si>
    <t>Significant items include restructuring costs, impairment of goodwill and other assets, and acquisition-related expense items.  Acquisition-related expense items include acquisition-related costs and amortization of intangible assets.</t>
  </si>
  <si>
    <t>Canaccord Genuity (Barbados) Ltd was closed during Q3/16.</t>
  </si>
  <si>
    <r>
      <t xml:space="preserve">Condensed Statement of Operations </t>
    </r>
    <r>
      <rPr>
        <b/>
        <i/>
        <vertAlign val="superscript"/>
        <sz val="12"/>
        <rFont val="Arial"/>
        <family val="2"/>
      </rPr>
      <t>(23)(24)(25)(29)</t>
    </r>
  </si>
  <si>
    <t xml:space="preserve">Canaccord Genuity Other Foreign Locations (Canaccord Genuity (Barbados) Ltd., Canaccord Genuity Asia, Canaccord Genuity (Australia) Limited &amp; Canaccord Genuity Singapore Pte. Ltd) </t>
  </si>
  <si>
    <r>
      <t>Condensed Consolidated Statement of Financial Position</t>
    </r>
    <r>
      <rPr>
        <b/>
        <i/>
        <vertAlign val="superscript"/>
        <sz val="12"/>
        <rFont val="Arial"/>
        <family val="2"/>
      </rPr>
      <t xml:space="preserve">(24) </t>
    </r>
  </si>
  <si>
    <t>12 months Ended</t>
  </si>
  <si>
    <t>FY 16</t>
  </si>
  <si>
    <t>First Quarter Fiscal 2017</t>
  </si>
  <si>
    <t>For the period ended June 30, 2016</t>
  </si>
  <si>
    <t>Q4/17</t>
  </si>
  <si>
    <t>Q3/17</t>
  </si>
  <si>
    <t>Q2/17</t>
  </si>
  <si>
    <t>Q1/17</t>
  </si>
  <si>
    <t>Q1/17 vs. Q1/16</t>
  </si>
  <si>
    <t xml:space="preserve">This document is not audited and should be read in conjunction with the First Quarter Fiscal 2017 Quarterly Report to the Shareholders (unaudited) dated August 3, 2016, and the Annual Report dated June 1, 2016. Canaccord's fiscal year end is defined as March 31st of each year. Canaccord's first quarter 2017 ended June 30, 2016 is also referred to as Q1/17 in the following disclosure.  </t>
  </si>
  <si>
    <t>n.m..</t>
  </si>
  <si>
    <t>Book value per diluted share is calculated as total common shareholders' equity adjusted for assumed proceeds from the exercise of options and warrants divided by the number of diluted common shares outstanding.</t>
  </si>
  <si>
    <t>This is the diluted common share number used to calculate book value per diluted share.  As such it includes amounts in respect of share issuance commitments including options and warrants, as applicable,</t>
  </si>
  <si>
    <t>and commencing in Q1/14, adjusted for shares purchased under the normal course issuer bid and not yet cancelled, and estimated forfeitures in respect of unvested share awards under share-based payment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</si>
</sst>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numFmt numFmtId="172" formatCode="#,##0.0\ ;\(#,##0.0\);\-&quot; &quot;"/>
    <numFmt numFmtId="173" formatCode="#,##0.000\ ;\(#,##0.000\);\-&quot; &quot;"/>
    <numFmt numFmtId="174" formatCode="#,##0.000_);\(#,##0.000\)"/>
    <numFmt numFmtId="175" formatCode="_-* #,##0_-;\-* #,##0_-;_-* &quot;-&quot;??_-;_-@_-"/>
    <numFmt numFmtId="176" formatCode="0.0\ \p.\p.;\(0.0\)\ \p.\p.;_(&quot;-&quot;"/>
    <numFmt numFmtId="177" formatCode="0.0"/>
    <numFmt numFmtId="178" formatCode="#,##0.0_);\(#,##0.0\)"/>
    <numFmt numFmtId="179" formatCode="#,##0.0\ ;\(#,##0\);\-&quot; &quot;"/>
    <numFmt numFmtId="180" formatCode="#,##0;\(#,##0\);&quot;-&quot;"/>
    <numFmt numFmtId="181" formatCode="_(* #,##0_);_(* \(#,##0\);_(* &quot;-&quot;??_);_(@_)"/>
    <numFmt numFmtId="182" formatCode="_-* #,##0.0000_-;\-* #,##0.0000_-;_-* &quot;-&quot;??_-;_-@_-"/>
    <numFmt numFmtId="183" formatCode="[$-F800]dddd\,\ mmmm\ dd\,\ yyyy"/>
    <numFmt numFmtId="184" formatCode="0.0000"/>
    <numFmt numFmtId="185" formatCode="0.00_);\(0.00\)"/>
    <numFmt numFmtId="186" formatCode="#,##0.00;[Red]\(#,##0.00\)"/>
    <numFmt numFmtId="187" formatCode="0_);\(0\)"/>
    <numFmt numFmtId="188" formatCode="_-* #,##0.000_-;\-* #,##0.000_-;_-* &quot;-&quot;??_-;_-@_-"/>
    <numFmt numFmtId="189" formatCode="_(* #,##0.000_);_(* \(#,##0.000\);_(* &quot;-&quot;??_);_(@_)"/>
    <numFmt numFmtId="190" formatCode="_(* #,##0.0_);_(* \(#,##0.0\);_(* &quot;-&quot;??_);_(@_)"/>
    <numFmt numFmtId="191" formatCode="_(* #,##0.0000_);_(* \(#,##0.0000\);_(* &quot;-&quot;??_);_(@_)"/>
    <numFmt numFmtId="192" formatCode="#,##0.00\ ;\(#,##0.0\);\-&quot; &quot;"/>
    <numFmt numFmtId="193" formatCode="0%;\(0\)%;_(&quot;-&quot;"/>
    <numFmt numFmtId="194" formatCode="[$-409]mmmm\ d\,\ yyyy;@"/>
    <numFmt numFmtId="195" formatCode="[$-1009]d\-mmm\-yy;@"/>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sz val="10"/>
      <color rgb="FFFF0000"/>
      <name val="Arial"/>
      <family val="2"/>
    </font>
    <font>
      <b/>
      <i/>
      <vertAlign val="superscript"/>
      <sz val="9"/>
      <name val="Arial"/>
      <family val="2"/>
    </font>
    <font>
      <i/>
      <sz val="11"/>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
      <sz val="10"/>
      <color theme="1"/>
      <name val="Arial"/>
      <family val="2"/>
    </font>
  </fonts>
  <fills count="5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601">
    <xf numFmtId="183" fontId="0" fillId="0" borderId="0"/>
    <xf numFmtId="165" fontId="15" fillId="0" borderId="0" applyFont="0" applyFill="0" applyBorder="0" applyAlignment="0" applyProtection="0"/>
    <xf numFmtId="165" fontId="50" fillId="0" borderId="0" applyFont="0" applyFill="0" applyBorder="0" applyAlignment="0" applyProtection="0"/>
    <xf numFmtId="165" fontId="36" fillId="0" borderId="0" applyFont="0" applyFill="0" applyBorder="0" applyAlignment="0" applyProtection="0"/>
    <xf numFmtId="43" fontId="15" fillId="0" borderId="0" applyFont="0" applyFill="0" applyBorder="0" applyAlignment="0" applyProtection="0"/>
    <xf numFmtId="183" fontId="28" fillId="0" borderId="0" applyNumberFormat="0" applyFill="0" applyBorder="0" applyAlignment="0" applyProtection="0">
      <alignment vertical="top"/>
      <protection locked="0"/>
    </xf>
    <xf numFmtId="183" fontId="36" fillId="0" borderId="0"/>
    <xf numFmtId="9" fontId="15" fillId="0" borderId="0" applyFont="0" applyFill="0" applyBorder="0" applyAlignment="0" applyProtection="0"/>
    <xf numFmtId="9" fontId="50" fillId="0" borderId="0" applyFont="0" applyFill="0" applyBorder="0" applyAlignment="0" applyProtection="0"/>
    <xf numFmtId="9" fontId="36" fillId="0" borderId="0" applyFont="0" applyFill="0" applyBorder="0" applyAlignment="0" applyProtection="0"/>
    <xf numFmtId="165" fontId="56" fillId="0" borderId="0" applyFont="0" applyFill="0" applyBorder="0" applyAlignment="0" applyProtection="0"/>
    <xf numFmtId="9" fontId="56"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3" fontId="15" fillId="0" borderId="0"/>
    <xf numFmtId="9"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183" fontId="15" fillId="0" borderId="0"/>
    <xf numFmtId="183" fontId="28" fillId="0" borderId="0" applyNumberFormat="0" applyFill="0" applyBorder="0" applyAlignment="0" applyProtection="0">
      <alignment vertical="top"/>
      <protection locked="0"/>
    </xf>
    <xf numFmtId="183" fontId="15" fillId="0" borderId="0"/>
    <xf numFmtId="183" fontId="28" fillId="0" borderId="0" applyNumberFormat="0" applyFill="0" applyBorder="0" applyAlignment="0" applyProtection="0">
      <alignment vertical="top"/>
      <protection locked="0"/>
    </xf>
    <xf numFmtId="183" fontId="57" fillId="0" borderId="0"/>
    <xf numFmtId="183" fontId="28" fillId="0" borderId="0" applyNumberFormat="0" applyFill="0" applyBorder="0" applyAlignment="0" applyProtection="0">
      <alignment vertical="top"/>
      <protection locked="0"/>
    </xf>
    <xf numFmtId="183" fontId="15" fillId="0" borderId="0"/>
    <xf numFmtId="183" fontId="58" fillId="0" borderId="0"/>
    <xf numFmtId="43" fontId="58" fillId="0" borderId="0" applyFont="0" applyFill="0" applyBorder="0" applyAlignment="0" applyProtection="0"/>
    <xf numFmtId="183" fontId="58" fillId="0" borderId="0"/>
    <xf numFmtId="183" fontId="15" fillId="0" borderId="0"/>
    <xf numFmtId="183" fontId="15" fillId="0" borderId="0"/>
    <xf numFmtId="43" fontId="15" fillId="0" borderId="0" applyFont="0" applyFill="0" applyBorder="0" applyAlignment="0" applyProtection="0"/>
    <xf numFmtId="183" fontId="15" fillId="0" borderId="0"/>
    <xf numFmtId="0" fontId="63" fillId="0" borderId="0" applyNumberFormat="0" applyFill="0" applyBorder="0" applyAlignment="0" applyProtection="0"/>
    <xf numFmtId="0" fontId="64" fillId="0" borderId="32" applyNumberFormat="0" applyFill="0" applyAlignment="0" applyProtection="0"/>
    <xf numFmtId="0" fontId="65" fillId="0" borderId="33"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7" fillId="6" borderId="0" applyNumberFormat="0" applyBorder="0" applyAlignment="0" applyProtection="0"/>
    <xf numFmtId="0" fontId="68" fillId="7" borderId="0" applyNumberFormat="0" applyBorder="0" applyAlignment="0" applyProtection="0"/>
    <xf numFmtId="0" fontId="69" fillId="8" borderId="0" applyNumberFormat="0" applyBorder="0" applyAlignment="0" applyProtection="0"/>
    <xf numFmtId="0" fontId="70" fillId="9" borderId="35" applyNumberFormat="0" applyAlignment="0" applyProtection="0"/>
    <xf numFmtId="0" fontId="71" fillId="10" borderId="36" applyNumberFormat="0" applyAlignment="0" applyProtection="0"/>
    <xf numFmtId="0" fontId="72" fillId="10" borderId="35" applyNumberFormat="0" applyAlignment="0" applyProtection="0"/>
    <xf numFmtId="0" fontId="73" fillId="0" borderId="37" applyNumberFormat="0" applyFill="0" applyAlignment="0" applyProtection="0"/>
    <xf numFmtId="0" fontId="74" fillId="11" borderId="38" applyNumberForma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40" applyNumberFormat="0" applyFill="0" applyAlignment="0" applyProtection="0"/>
    <xf numFmtId="0" fontId="7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78" fillId="36" borderId="0" applyNumberFormat="0" applyBorder="0" applyAlignment="0" applyProtection="0"/>
    <xf numFmtId="0" fontId="14" fillId="0" borderId="0"/>
    <xf numFmtId="0" fontId="14" fillId="12" borderId="39" applyNumberFormat="0" applyFont="0" applyAlignment="0" applyProtection="0"/>
    <xf numFmtId="0" fontId="15" fillId="0" borderId="0"/>
    <xf numFmtId="0" fontId="79" fillId="0" borderId="0"/>
    <xf numFmtId="183" fontId="15" fillId="0" borderId="0"/>
    <xf numFmtId="183" fontId="81" fillId="37" borderId="0" applyNumberFormat="0" applyBorder="0" applyAlignment="0" applyProtection="0"/>
    <xf numFmtId="183" fontId="81" fillId="38" borderId="0" applyNumberFormat="0" applyBorder="0" applyAlignment="0" applyProtection="0"/>
    <xf numFmtId="183" fontId="81" fillId="39" borderId="0" applyNumberFormat="0" applyBorder="0" applyAlignment="0" applyProtection="0"/>
    <xf numFmtId="183" fontId="81" fillId="40" borderId="0" applyNumberFormat="0" applyBorder="0" applyAlignment="0" applyProtection="0"/>
    <xf numFmtId="183" fontId="81" fillId="41" borderId="0" applyNumberFormat="0" applyBorder="0" applyAlignment="0" applyProtection="0"/>
    <xf numFmtId="183" fontId="81" fillId="42" borderId="0" applyNumberFormat="0" applyBorder="0" applyAlignment="0" applyProtection="0"/>
    <xf numFmtId="183" fontId="81" fillId="43" borderId="0" applyNumberFormat="0" applyBorder="0" applyAlignment="0" applyProtection="0"/>
    <xf numFmtId="183" fontId="81" fillId="44" borderId="0" applyNumberFormat="0" applyBorder="0" applyAlignment="0" applyProtection="0"/>
    <xf numFmtId="183" fontId="81" fillId="45" borderId="0" applyNumberFormat="0" applyBorder="0" applyAlignment="0" applyProtection="0"/>
    <xf numFmtId="183" fontId="81" fillId="40" borderId="0" applyNumberFormat="0" applyBorder="0" applyAlignment="0" applyProtection="0"/>
    <xf numFmtId="183" fontId="81" fillId="43" borderId="0" applyNumberFormat="0" applyBorder="0" applyAlignment="0" applyProtection="0"/>
    <xf numFmtId="183" fontId="81" fillId="46" borderId="0" applyNumberFormat="0" applyBorder="0" applyAlignment="0" applyProtection="0"/>
    <xf numFmtId="183" fontId="82" fillId="47" borderId="0" applyNumberFormat="0" applyBorder="0" applyAlignment="0" applyProtection="0"/>
    <xf numFmtId="183" fontId="82" fillId="44" borderId="0" applyNumberFormat="0" applyBorder="0" applyAlignment="0" applyProtection="0"/>
    <xf numFmtId="183" fontId="82" fillId="45" borderId="0" applyNumberFormat="0" applyBorder="0" applyAlignment="0" applyProtection="0"/>
    <xf numFmtId="183" fontId="82" fillId="48" borderId="0" applyNumberFormat="0" applyBorder="0" applyAlignment="0" applyProtection="0"/>
    <xf numFmtId="183" fontId="82" fillId="49" borderId="0" applyNumberFormat="0" applyBorder="0" applyAlignment="0" applyProtection="0"/>
    <xf numFmtId="183" fontId="82" fillId="50" borderId="0" applyNumberFormat="0" applyBorder="0" applyAlignment="0" applyProtection="0"/>
    <xf numFmtId="183" fontId="82" fillId="51" borderId="0" applyNumberFormat="0" applyBorder="0" applyAlignment="0" applyProtection="0"/>
    <xf numFmtId="183" fontId="82" fillId="52" borderId="0" applyNumberFormat="0" applyBorder="0" applyAlignment="0" applyProtection="0"/>
    <xf numFmtId="183" fontId="82" fillId="53" borderId="0" applyNumberFormat="0" applyBorder="0" applyAlignment="0" applyProtection="0"/>
    <xf numFmtId="183" fontId="82" fillId="48" borderId="0" applyNumberFormat="0" applyBorder="0" applyAlignment="0" applyProtection="0"/>
    <xf numFmtId="183" fontId="82" fillId="49" borderId="0" applyNumberFormat="0" applyBorder="0" applyAlignment="0" applyProtection="0"/>
    <xf numFmtId="183" fontId="82" fillId="54" borderId="0" applyNumberFormat="0" applyBorder="0" applyAlignment="0" applyProtection="0"/>
    <xf numFmtId="183" fontId="83" fillId="38" borderId="0" applyNumberFormat="0" applyBorder="0" applyAlignment="0" applyProtection="0"/>
    <xf numFmtId="183" fontId="84" fillId="55" borderId="45" applyNumberFormat="0" applyAlignment="0" applyProtection="0"/>
    <xf numFmtId="183" fontId="85" fillId="56" borderId="46" applyNumberFormat="0" applyAlignment="0" applyProtection="0"/>
    <xf numFmtId="38" fontId="86" fillId="0" borderId="0" applyFont="0" applyFill="0" applyBorder="0" applyAlignment="0" applyProtection="0"/>
    <xf numFmtId="38" fontId="86" fillId="0" borderId="0" applyFont="0" applyFill="0" applyBorder="0" applyAlignment="0" applyProtection="0"/>
    <xf numFmtId="40" fontId="86" fillId="0" borderId="0" applyFont="0" applyFill="0" applyBorder="0" applyAlignment="0" applyProtection="0"/>
    <xf numFmtId="40" fontId="8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86" fillId="0" borderId="0" applyFont="0" applyFill="0" applyBorder="0" applyAlignment="0" applyProtection="0"/>
    <xf numFmtId="43" fontId="87" fillId="0" borderId="0" applyFont="0" applyFill="0" applyBorder="0" applyAlignment="0" applyProtection="0"/>
    <xf numFmtId="40" fontId="86" fillId="0" borderId="0" applyFont="0" applyFill="0" applyBorder="0" applyAlignment="0" applyProtection="0"/>
    <xf numFmtId="40" fontId="86" fillId="0" borderId="0" applyFont="0" applyFill="0" applyBorder="0" applyAlignment="0" applyProtection="0"/>
    <xf numFmtId="40" fontId="8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8" fontId="86" fillId="0" borderId="0" applyFont="0" applyFill="0" applyBorder="0" applyAlignment="0" applyProtection="0"/>
    <xf numFmtId="8" fontId="86" fillId="0" borderId="0" applyFont="0" applyFill="0" applyBorder="0" applyAlignment="0" applyProtection="0"/>
    <xf numFmtId="183" fontId="88" fillId="0" borderId="0" applyNumberFormat="0" applyFill="0" applyBorder="0" applyAlignment="0" applyProtection="0"/>
    <xf numFmtId="183" fontId="89" fillId="39" borderId="0" applyNumberFormat="0" applyBorder="0" applyAlignment="0" applyProtection="0"/>
    <xf numFmtId="183" fontId="90" fillId="0" borderId="47" applyNumberFormat="0" applyFill="0" applyAlignment="0" applyProtection="0"/>
    <xf numFmtId="183" fontId="91" fillId="0" borderId="48" applyNumberFormat="0" applyFill="0" applyAlignment="0" applyProtection="0"/>
    <xf numFmtId="183" fontId="92" fillId="0" borderId="49" applyNumberFormat="0" applyFill="0" applyAlignment="0" applyProtection="0"/>
    <xf numFmtId="183" fontId="92" fillId="0" borderId="0" applyNumberFormat="0" applyFill="0" applyBorder="0" applyAlignment="0" applyProtection="0"/>
    <xf numFmtId="183" fontId="93" fillId="42" borderId="45" applyNumberFormat="0" applyAlignment="0" applyProtection="0"/>
    <xf numFmtId="183" fontId="94" fillId="0" borderId="50" applyNumberFormat="0" applyFill="0" applyAlignment="0" applyProtection="0"/>
    <xf numFmtId="183" fontId="95" fillId="57" borderId="0" applyNumberFormat="0" applyBorder="0" applyAlignment="0" applyProtection="0"/>
    <xf numFmtId="183" fontId="15" fillId="0" borderId="0"/>
    <xf numFmtId="183" fontId="15" fillId="0" borderId="0"/>
    <xf numFmtId="183" fontId="96" fillId="0" borderId="0"/>
    <xf numFmtId="183" fontId="20" fillId="0" borderId="0"/>
    <xf numFmtId="183" fontId="15" fillId="0" borderId="0"/>
    <xf numFmtId="0" fontId="14" fillId="0" borderId="0"/>
    <xf numFmtId="0" fontId="20" fillId="0" borderId="0"/>
    <xf numFmtId="183" fontId="15" fillId="58" borderId="51" applyNumberFormat="0" applyFont="0" applyAlignment="0" applyProtection="0"/>
    <xf numFmtId="0" fontId="14" fillId="12" borderId="39"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9" fontId="15"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183" fontId="98" fillId="0" borderId="0" applyNumberFormat="0" applyFill="0" applyBorder="0" applyAlignment="0" applyProtection="0"/>
    <xf numFmtId="183" fontId="99" fillId="0" borderId="53" applyNumberFormat="0" applyFill="0" applyAlignment="0" applyProtection="0"/>
    <xf numFmtId="183" fontId="100" fillId="0" borderId="0" applyNumberFormat="0" applyFill="0" applyBorder="0" applyAlignment="0" applyProtection="0"/>
    <xf numFmtId="0" fontId="79" fillId="0" borderId="0"/>
    <xf numFmtId="0" fontId="79" fillId="0" borderId="0"/>
    <xf numFmtId="0" fontId="15" fillId="0" borderId="0"/>
    <xf numFmtId="0" fontId="15" fillId="0" borderId="0"/>
    <xf numFmtId="0" fontId="15" fillId="0" borderId="0"/>
    <xf numFmtId="0" fontId="13" fillId="0" borderId="0"/>
    <xf numFmtId="0" fontId="102" fillId="0" borderId="32" applyNumberFormat="0" applyFill="0" applyAlignment="0" applyProtection="0"/>
    <xf numFmtId="0" fontId="103" fillId="0" borderId="33" applyNumberFormat="0" applyFill="0" applyAlignment="0" applyProtection="0"/>
    <xf numFmtId="0" fontId="104" fillId="0" borderId="34" applyNumberFormat="0" applyFill="0" applyAlignment="0" applyProtection="0"/>
    <xf numFmtId="0" fontId="104" fillId="0" borderId="0" applyNumberFormat="0" applyFill="0" applyBorder="0" applyAlignment="0" applyProtection="0"/>
    <xf numFmtId="0" fontId="105" fillId="6" borderId="0" applyNumberFormat="0" applyBorder="0" applyAlignment="0" applyProtection="0"/>
    <xf numFmtId="0" fontId="106" fillId="7" borderId="0" applyNumberFormat="0" applyBorder="0" applyAlignment="0" applyProtection="0"/>
    <xf numFmtId="0" fontId="107" fillId="8" borderId="0" applyNumberFormat="0" applyBorder="0" applyAlignment="0" applyProtection="0"/>
    <xf numFmtId="0" fontId="108" fillId="9" borderId="35" applyNumberFormat="0" applyAlignment="0" applyProtection="0"/>
    <xf numFmtId="0" fontId="109" fillId="10" borderId="36" applyNumberFormat="0" applyAlignment="0" applyProtection="0"/>
    <xf numFmtId="0" fontId="110" fillId="10" borderId="35" applyNumberFormat="0" applyAlignment="0" applyProtection="0"/>
    <xf numFmtId="0" fontId="111" fillId="0" borderId="37" applyNumberFormat="0" applyFill="0" applyAlignment="0" applyProtection="0"/>
    <xf numFmtId="0" fontId="112" fillId="11" borderId="38" applyNumberFormat="0" applyAlignment="0" applyProtection="0"/>
    <xf numFmtId="0" fontId="113" fillId="0" borderId="0" applyNumberFormat="0" applyFill="0" applyBorder="0" applyAlignment="0" applyProtection="0"/>
    <xf numFmtId="0" fontId="13" fillId="12" borderId="39" applyNumberFormat="0" applyFont="0" applyAlignment="0" applyProtection="0"/>
    <xf numFmtId="0" fontId="114" fillId="0" borderId="0" applyNumberFormat="0" applyFill="0" applyBorder="0" applyAlignment="0" applyProtection="0"/>
    <xf numFmtId="0" fontId="115" fillId="0" borderId="40" applyNumberFormat="0" applyFill="0" applyAlignment="0" applyProtection="0"/>
    <xf numFmtId="0" fontId="116"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16" fillId="36" borderId="0" applyNumberFormat="0" applyBorder="0" applyAlignment="0" applyProtection="0"/>
    <xf numFmtId="0" fontId="12" fillId="0" borderId="0"/>
    <xf numFmtId="0" fontId="12" fillId="12" borderId="39" applyNumberFormat="0" applyFont="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0" borderId="0"/>
    <xf numFmtId="0" fontId="12" fillId="12" borderId="39" applyNumberFormat="0" applyFont="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96" fillId="0" borderId="0"/>
    <xf numFmtId="165" fontId="96" fillId="0" borderId="0" applyFont="0" applyFill="0" applyBorder="0" applyAlignment="0" applyProtection="0"/>
    <xf numFmtId="194" fontId="15" fillId="0" borderId="0"/>
    <xf numFmtId="194" fontId="28" fillId="0" borderId="0" applyNumberFormat="0" applyFill="0" applyBorder="0" applyAlignment="0" applyProtection="0">
      <alignment vertical="top"/>
      <protection locked="0"/>
    </xf>
    <xf numFmtId="194" fontId="81" fillId="37" borderId="0" applyNumberFormat="0" applyBorder="0" applyAlignment="0" applyProtection="0"/>
    <xf numFmtId="194" fontId="81" fillId="38" borderId="0" applyNumberFormat="0" applyBorder="0" applyAlignment="0" applyProtection="0"/>
    <xf numFmtId="194" fontId="81" fillId="39" borderId="0" applyNumberFormat="0" applyBorder="0" applyAlignment="0" applyProtection="0"/>
    <xf numFmtId="194" fontId="81" fillId="40" borderId="0" applyNumberFormat="0" applyBorder="0" applyAlignment="0" applyProtection="0"/>
    <xf numFmtId="194" fontId="81" fillId="41" borderId="0" applyNumberFormat="0" applyBorder="0" applyAlignment="0" applyProtection="0"/>
    <xf numFmtId="194" fontId="81" fillId="42" borderId="0" applyNumberFormat="0" applyBorder="0" applyAlignment="0" applyProtection="0"/>
    <xf numFmtId="194" fontId="81" fillId="43" borderId="0" applyNumberFormat="0" applyBorder="0" applyAlignment="0" applyProtection="0"/>
    <xf numFmtId="194" fontId="81" fillId="44" borderId="0" applyNumberFormat="0" applyBorder="0" applyAlignment="0" applyProtection="0"/>
    <xf numFmtId="194" fontId="81" fillId="45" borderId="0" applyNumberFormat="0" applyBorder="0" applyAlignment="0" applyProtection="0"/>
    <xf numFmtId="194" fontId="81" fillId="40" borderId="0" applyNumberFormat="0" applyBorder="0" applyAlignment="0" applyProtection="0"/>
    <xf numFmtId="194" fontId="81" fillId="43" borderId="0" applyNumberFormat="0" applyBorder="0" applyAlignment="0" applyProtection="0"/>
    <xf numFmtId="194" fontId="81" fillId="46" borderId="0" applyNumberFormat="0" applyBorder="0" applyAlignment="0" applyProtection="0"/>
    <xf numFmtId="194" fontId="82" fillId="47" borderId="0" applyNumberFormat="0" applyBorder="0" applyAlignment="0" applyProtection="0"/>
    <xf numFmtId="194" fontId="82" fillId="44" borderId="0" applyNumberFormat="0" applyBorder="0" applyAlignment="0" applyProtection="0"/>
    <xf numFmtId="194" fontId="82" fillId="45" borderId="0" applyNumberFormat="0" applyBorder="0" applyAlignment="0" applyProtection="0"/>
    <xf numFmtId="194" fontId="82" fillId="48" borderId="0" applyNumberFormat="0" applyBorder="0" applyAlignment="0" applyProtection="0"/>
    <xf numFmtId="194" fontId="82" fillId="49" borderId="0" applyNumberFormat="0" applyBorder="0" applyAlignment="0" applyProtection="0"/>
    <xf numFmtId="194" fontId="82" fillId="50" borderId="0" applyNumberFormat="0" applyBorder="0" applyAlignment="0" applyProtection="0"/>
    <xf numFmtId="194" fontId="82" fillId="51" borderId="0" applyNumberFormat="0" applyBorder="0" applyAlignment="0" applyProtection="0"/>
    <xf numFmtId="194" fontId="82" fillId="52" borderId="0" applyNumberFormat="0" applyBorder="0" applyAlignment="0" applyProtection="0"/>
    <xf numFmtId="194" fontId="82" fillId="53" borderId="0" applyNumberFormat="0" applyBorder="0" applyAlignment="0" applyProtection="0"/>
    <xf numFmtId="194" fontId="82" fillId="48" borderId="0" applyNumberFormat="0" applyBorder="0" applyAlignment="0" applyProtection="0"/>
    <xf numFmtId="194" fontId="82" fillId="49" borderId="0" applyNumberFormat="0" applyBorder="0" applyAlignment="0" applyProtection="0"/>
    <xf numFmtId="194" fontId="82" fillId="54" borderId="0" applyNumberFormat="0" applyBorder="0" applyAlignment="0" applyProtection="0"/>
    <xf numFmtId="194" fontId="83" fillId="38" borderId="0" applyNumberFormat="0" applyBorder="0" applyAlignment="0" applyProtection="0"/>
    <xf numFmtId="194" fontId="84" fillId="55" borderId="45" applyNumberFormat="0" applyAlignment="0" applyProtection="0"/>
    <xf numFmtId="194" fontId="85" fillId="56" borderId="46" applyNumberFormat="0" applyAlignment="0" applyProtection="0"/>
    <xf numFmtId="194" fontId="88" fillId="0" borderId="0" applyNumberFormat="0" applyFill="0" applyBorder="0" applyAlignment="0" applyProtection="0"/>
    <xf numFmtId="194" fontId="89" fillId="39" borderId="0" applyNumberFormat="0" applyBorder="0" applyAlignment="0" applyProtection="0"/>
    <xf numFmtId="194" fontId="90" fillId="0" borderId="47" applyNumberFormat="0" applyFill="0" applyAlignment="0" applyProtection="0"/>
    <xf numFmtId="194" fontId="91" fillId="0" borderId="48" applyNumberFormat="0" applyFill="0" applyAlignment="0" applyProtection="0"/>
    <xf numFmtId="194" fontId="92" fillId="0" borderId="49" applyNumberFormat="0" applyFill="0" applyAlignment="0" applyProtection="0"/>
    <xf numFmtId="194" fontId="92" fillId="0" borderId="0" applyNumberFormat="0" applyFill="0" applyBorder="0" applyAlignment="0" applyProtection="0"/>
    <xf numFmtId="194" fontId="28" fillId="0" borderId="0" applyNumberFormat="0" applyFill="0" applyBorder="0" applyAlignment="0" applyProtection="0">
      <alignment vertical="top"/>
      <protection locked="0"/>
    </xf>
    <xf numFmtId="194" fontId="28" fillId="0" borderId="0" applyNumberFormat="0" applyFill="0" applyBorder="0" applyAlignment="0" applyProtection="0">
      <alignment vertical="top"/>
      <protection locked="0"/>
    </xf>
    <xf numFmtId="183" fontId="28" fillId="0" borderId="0" applyNumberFormat="0" applyFill="0" applyBorder="0" applyAlignment="0" applyProtection="0">
      <alignment vertical="top"/>
      <protection locked="0"/>
    </xf>
    <xf numFmtId="183" fontId="28" fillId="0" borderId="0" applyNumberFormat="0" applyFill="0" applyBorder="0" applyAlignment="0" applyProtection="0">
      <alignment vertical="top"/>
      <protection locked="0"/>
    </xf>
    <xf numFmtId="194" fontId="28" fillId="0" borderId="0" applyNumberFormat="0" applyFill="0" applyBorder="0" applyAlignment="0" applyProtection="0">
      <alignment vertical="top"/>
      <protection locked="0"/>
    </xf>
    <xf numFmtId="183" fontId="28" fillId="0" borderId="0" applyNumberFormat="0" applyFill="0" applyBorder="0" applyAlignment="0" applyProtection="0">
      <alignment vertical="top"/>
      <protection locked="0"/>
    </xf>
    <xf numFmtId="183" fontId="28" fillId="0" borderId="0" applyNumberFormat="0" applyFill="0" applyBorder="0" applyAlignment="0" applyProtection="0">
      <alignment vertical="top"/>
      <protection locked="0"/>
    </xf>
    <xf numFmtId="194" fontId="93" fillId="42" borderId="45" applyNumberFormat="0" applyAlignment="0" applyProtection="0"/>
    <xf numFmtId="194" fontId="94" fillId="0" borderId="50" applyNumberFormat="0" applyFill="0" applyAlignment="0" applyProtection="0"/>
    <xf numFmtId="194" fontId="95" fillId="57" borderId="0" applyNumberFormat="0" applyBorder="0" applyAlignment="0" applyProtection="0"/>
    <xf numFmtId="194" fontId="96" fillId="0" borderId="0"/>
    <xf numFmtId="183" fontId="15" fillId="0" borderId="0"/>
    <xf numFmtId="0" fontId="96" fillId="0" borderId="0"/>
    <xf numFmtId="194" fontId="15" fillId="0" borderId="0"/>
    <xf numFmtId="194" fontId="15" fillId="0" borderId="0"/>
    <xf numFmtId="183" fontId="15" fillId="0" borderId="0"/>
    <xf numFmtId="194" fontId="15" fillId="0" borderId="0"/>
    <xf numFmtId="183" fontId="15" fillId="0" borderId="0"/>
    <xf numFmtId="183" fontId="15" fillId="0" borderId="0"/>
    <xf numFmtId="194" fontId="15" fillId="0" borderId="0"/>
    <xf numFmtId="194" fontId="15" fillId="0" borderId="0"/>
    <xf numFmtId="194" fontId="15" fillId="0" borderId="0"/>
    <xf numFmtId="183" fontId="15" fillId="0" borderId="0"/>
    <xf numFmtId="194" fontId="15" fillId="0" borderId="0"/>
    <xf numFmtId="183" fontId="15" fillId="0" borderId="0"/>
    <xf numFmtId="194" fontId="15" fillId="0" borderId="0"/>
    <xf numFmtId="194" fontId="15" fillId="0" borderId="0"/>
    <xf numFmtId="183" fontId="15" fillId="0" borderId="0"/>
    <xf numFmtId="183" fontId="15" fillId="0" borderId="0"/>
    <xf numFmtId="194" fontId="15" fillId="0" borderId="0"/>
    <xf numFmtId="194" fontId="15" fillId="0" borderId="0"/>
    <xf numFmtId="183" fontId="15" fillId="0" borderId="0"/>
    <xf numFmtId="194" fontId="96" fillId="0" borderId="0"/>
    <xf numFmtId="183" fontId="15" fillId="0" borderId="0"/>
    <xf numFmtId="194" fontId="15" fillId="0" borderId="0"/>
    <xf numFmtId="194" fontId="15" fillId="0" borderId="0"/>
    <xf numFmtId="194" fontId="20" fillId="0" borderId="0"/>
    <xf numFmtId="183" fontId="15" fillId="0" borderId="0"/>
    <xf numFmtId="194" fontId="15" fillId="0" borderId="0"/>
    <xf numFmtId="183" fontId="15" fillId="0" borderId="0"/>
    <xf numFmtId="194" fontId="86" fillId="0" borderId="0">
      <alignment horizontal="left" wrapText="1"/>
    </xf>
    <xf numFmtId="194" fontId="20" fillId="0" borderId="0"/>
    <xf numFmtId="194" fontId="20" fillId="0" borderId="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8" fillId="0" borderId="0" applyNumberFormat="0" applyFill="0" applyBorder="0" applyAlignment="0" applyProtection="0"/>
    <xf numFmtId="194" fontId="99" fillId="0" borderId="53" applyNumberFormat="0" applyFill="0" applyAlignment="0" applyProtection="0"/>
    <xf numFmtId="194" fontId="100" fillId="0" borderId="0" applyNumberFormat="0" applyFill="0" applyBorder="0" applyAlignment="0" applyProtection="0"/>
    <xf numFmtId="194"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94" fontId="15" fillId="0" borderId="0"/>
    <xf numFmtId="9"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194" fontId="15" fillId="0" borderId="0"/>
    <xf numFmtId="194" fontId="15" fillId="0" borderId="0"/>
    <xf numFmtId="194" fontId="15" fillId="0" borderId="0"/>
    <xf numFmtId="194" fontId="15" fillId="0" borderId="0"/>
    <xf numFmtId="194" fontId="15" fillId="0" borderId="0"/>
    <xf numFmtId="43" fontId="15" fillId="0" borderId="0" applyFont="0" applyFill="0" applyBorder="0" applyAlignment="0" applyProtection="0"/>
    <xf numFmtId="194" fontId="15" fillId="0" borderId="0"/>
    <xf numFmtId="194" fontId="15" fillId="0" borderId="0"/>
    <xf numFmtId="194" fontId="15" fillId="0" borderId="0"/>
    <xf numFmtId="43" fontId="15" fillId="0" borderId="0" applyFont="0" applyFill="0" applyBorder="0" applyAlignment="0" applyProtection="0"/>
    <xf numFmtId="194" fontId="15" fillId="0" borderId="0"/>
    <xf numFmtId="194" fontId="84" fillId="55" borderId="4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94" fontId="93" fillId="42" borderId="45" applyNumberFormat="0" applyAlignment="0" applyProtection="0"/>
    <xf numFmtId="194" fontId="15" fillId="0" borderId="0"/>
    <xf numFmtId="194" fontId="15" fillId="0" borderId="0"/>
    <xf numFmtId="194" fontId="15" fillId="0" borderId="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9" fontId="15" fillId="0" borderId="0" applyFont="0" applyFill="0" applyBorder="0" applyAlignment="0" applyProtection="0"/>
    <xf numFmtId="194" fontId="99" fillId="0" borderId="53" applyNumberFormat="0" applyFill="0" applyAlignment="0" applyProtection="0"/>
    <xf numFmtId="194" fontId="15" fillId="0" borderId="0"/>
    <xf numFmtId="194" fontId="15" fillId="58" borderId="51" applyNumberFormat="0" applyFont="0" applyAlignment="0" applyProtection="0"/>
    <xf numFmtId="0" fontId="64" fillId="0" borderId="32" applyNumberFormat="0" applyFill="0" applyAlignment="0" applyProtection="0"/>
    <xf numFmtId="0" fontId="65" fillId="0" borderId="33"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7" fillId="6" borderId="0" applyNumberFormat="0" applyBorder="0" applyAlignment="0" applyProtection="0"/>
    <xf numFmtId="0" fontId="68" fillId="7" borderId="0" applyNumberFormat="0" applyBorder="0" applyAlignment="0" applyProtection="0"/>
    <xf numFmtId="0" fontId="69" fillId="8" borderId="0" applyNumberFormat="0" applyBorder="0" applyAlignment="0" applyProtection="0"/>
    <xf numFmtId="0" fontId="70" fillId="9" borderId="35" applyNumberFormat="0" applyAlignment="0" applyProtection="0"/>
    <xf numFmtId="0" fontId="71" fillId="10" borderId="36" applyNumberFormat="0" applyAlignment="0" applyProtection="0"/>
    <xf numFmtId="0" fontId="72" fillId="10" borderId="35" applyNumberFormat="0" applyAlignment="0" applyProtection="0"/>
    <xf numFmtId="0" fontId="73" fillId="0" borderId="37" applyNumberFormat="0" applyFill="0" applyAlignment="0" applyProtection="0"/>
    <xf numFmtId="0" fontId="74" fillId="11" borderId="38" applyNumberForma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40" applyNumberFormat="0" applyFill="0" applyAlignment="0" applyProtection="0"/>
    <xf numFmtId="0" fontId="7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78" fillId="36" borderId="0" applyNumberFormat="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43" fontId="96" fillId="0" borderId="0" applyFont="0" applyFill="0" applyBorder="0" applyAlignment="0" applyProtection="0"/>
    <xf numFmtId="43" fontId="96" fillId="0" borderId="0" applyFont="0" applyFill="0" applyBorder="0" applyAlignment="0" applyProtection="0"/>
    <xf numFmtId="165" fontId="15" fillId="0" borderId="0" applyFont="0" applyFill="0" applyBorder="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0" borderId="0"/>
    <xf numFmtId="165" fontId="15" fillId="0" borderId="0" applyFont="0" applyFill="0" applyBorder="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9" fillId="0" borderId="53" applyNumberFormat="0" applyFill="0" applyAlignment="0" applyProtection="0"/>
    <xf numFmtId="194" fontId="15" fillId="0" borderId="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65" fontId="15" fillId="0" borderId="0" applyFont="0" applyFill="0" applyBorder="0" applyAlignment="0" applyProtection="0"/>
    <xf numFmtId="0" fontId="15" fillId="0" borderId="0"/>
    <xf numFmtId="0" fontId="2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0" borderId="0" applyNumberFormat="0" applyBorder="0" applyAlignment="0" applyProtection="0"/>
    <xf numFmtId="0" fontId="81" fillId="43" borderId="0" applyNumberFormat="0" applyBorder="0" applyAlignment="0" applyProtection="0"/>
    <xf numFmtId="0" fontId="81" fillId="46" borderId="0" applyNumberFormat="0" applyBorder="0" applyAlignment="0" applyProtection="0"/>
    <xf numFmtId="0" fontId="82" fillId="47"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54" borderId="0" applyNumberFormat="0" applyBorder="0" applyAlignment="0" applyProtection="0"/>
    <xf numFmtId="0" fontId="83" fillId="38" borderId="0" applyNumberFormat="0" applyBorder="0" applyAlignment="0" applyProtection="0"/>
    <xf numFmtId="0" fontId="84" fillId="55" borderId="45" applyNumberFormat="0" applyAlignment="0" applyProtection="0"/>
    <xf numFmtId="0" fontId="85" fillId="56" borderId="46" applyNumberFormat="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47" applyNumberFormat="0" applyFill="0" applyAlignment="0" applyProtection="0"/>
    <xf numFmtId="0" fontId="91" fillId="0" borderId="48" applyNumberFormat="0" applyFill="0" applyAlignment="0" applyProtection="0"/>
    <xf numFmtId="0" fontId="92" fillId="0" borderId="49" applyNumberFormat="0" applyFill="0" applyAlignment="0" applyProtection="0"/>
    <xf numFmtId="0" fontId="92" fillId="0" borderId="0" applyNumberFormat="0" applyFill="0" applyBorder="0" applyAlignment="0" applyProtection="0"/>
    <xf numFmtId="0" fontId="93" fillId="42" borderId="45" applyNumberFormat="0" applyAlignment="0" applyProtection="0"/>
    <xf numFmtId="0" fontId="94" fillId="0" borderId="50" applyNumberFormat="0" applyFill="0" applyAlignment="0" applyProtection="0"/>
    <xf numFmtId="0" fontId="95" fillId="57" borderId="0" applyNumberFormat="0" applyBorder="0" applyAlignment="0" applyProtection="0"/>
    <xf numFmtId="0" fontId="15" fillId="0" borderId="0"/>
    <xf numFmtId="0" fontId="15" fillId="0" borderId="0"/>
    <xf numFmtId="0" fontId="15" fillId="0" borderId="0"/>
    <xf numFmtId="0" fontId="96" fillId="0" borderId="0"/>
    <xf numFmtId="0" fontId="20" fillId="0" borderId="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97" fillId="55" borderId="52" applyNumberFormat="0" applyAlignment="0" applyProtection="0"/>
    <xf numFmtId="0" fontId="98" fillId="0" borderId="0" applyNumberFormat="0" applyFill="0" applyBorder="0" applyAlignment="0" applyProtection="0"/>
    <xf numFmtId="0" fontId="99" fillId="0" borderId="53" applyNumberFormat="0" applyFill="0" applyAlignment="0" applyProtection="0"/>
    <xf numFmtId="0" fontId="100" fillId="0" borderId="0" applyNumberFormat="0" applyFill="0" applyBorder="0" applyAlignment="0" applyProtection="0"/>
    <xf numFmtId="0" fontId="86" fillId="0" borderId="0">
      <alignment horizontal="left" wrapText="1"/>
    </xf>
    <xf numFmtId="0" fontId="15" fillId="0" borderId="0"/>
    <xf numFmtId="0"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0" borderId="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83" fontId="15" fillId="0" borderId="0"/>
    <xf numFmtId="165" fontId="15" fillId="0" borderId="0" applyFont="0" applyFill="0" applyBorder="0" applyAlignment="0" applyProtection="0"/>
    <xf numFmtId="183" fontId="20" fillId="0" borderId="0"/>
    <xf numFmtId="183" fontId="81" fillId="37" borderId="0" applyNumberFormat="0" applyBorder="0" applyAlignment="0" applyProtection="0"/>
    <xf numFmtId="183" fontId="81" fillId="38" borderId="0" applyNumberFormat="0" applyBorder="0" applyAlignment="0" applyProtection="0"/>
    <xf numFmtId="183" fontId="81" fillId="39" borderId="0" applyNumberFormat="0" applyBorder="0" applyAlignment="0" applyProtection="0"/>
    <xf numFmtId="183" fontId="81" fillId="40" borderId="0" applyNumberFormat="0" applyBorder="0" applyAlignment="0" applyProtection="0"/>
    <xf numFmtId="183" fontId="81" fillId="41" borderId="0" applyNumberFormat="0" applyBorder="0" applyAlignment="0" applyProtection="0"/>
    <xf numFmtId="183" fontId="81" fillId="42" borderId="0" applyNumberFormat="0" applyBorder="0" applyAlignment="0" applyProtection="0"/>
    <xf numFmtId="183" fontId="81" fillId="43" borderId="0" applyNumberFormat="0" applyBorder="0" applyAlignment="0" applyProtection="0"/>
    <xf numFmtId="183" fontId="81" fillId="44" borderId="0" applyNumberFormat="0" applyBorder="0" applyAlignment="0" applyProtection="0"/>
    <xf numFmtId="183" fontId="81" fillId="45" borderId="0" applyNumberFormat="0" applyBorder="0" applyAlignment="0" applyProtection="0"/>
    <xf numFmtId="183" fontId="81" fillId="40" borderId="0" applyNumberFormat="0" applyBorder="0" applyAlignment="0" applyProtection="0"/>
    <xf numFmtId="183" fontId="81" fillId="43" borderId="0" applyNumberFormat="0" applyBorder="0" applyAlignment="0" applyProtection="0"/>
    <xf numFmtId="183" fontId="81" fillId="46" borderId="0" applyNumberFormat="0" applyBorder="0" applyAlignment="0" applyProtection="0"/>
    <xf numFmtId="183" fontId="82" fillId="47" borderId="0" applyNumberFormat="0" applyBorder="0" applyAlignment="0" applyProtection="0"/>
    <xf numFmtId="183" fontId="82" fillId="44" borderId="0" applyNumberFormat="0" applyBorder="0" applyAlignment="0" applyProtection="0"/>
    <xf numFmtId="183" fontId="82" fillId="45" borderId="0" applyNumberFormat="0" applyBorder="0" applyAlignment="0" applyProtection="0"/>
    <xf numFmtId="183" fontId="82" fillId="48" borderId="0" applyNumberFormat="0" applyBorder="0" applyAlignment="0" applyProtection="0"/>
    <xf numFmtId="183" fontId="82" fillId="49" borderId="0" applyNumberFormat="0" applyBorder="0" applyAlignment="0" applyProtection="0"/>
    <xf numFmtId="183" fontId="82" fillId="50" borderId="0" applyNumberFormat="0" applyBorder="0" applyAlignment="0" applyProtection="0"/>
    <xf numFmtId="183" fontId="82" fillId="51" borderId="0" applyNumberFormat="0" applyBorder="0" applyAlignment="0" applyProtection="0"/>
    <xf numFmtId="183" fontId="82" fillId="52" borderId="0" applyNumberFormat="0" applyBorder="0" applyAlignment="0" applyProtection="0"/>
    <xf numFmtId="183" fontId="82" fillId="53" borderId="0" applyNumberFormat="0" applyBorder="0" applyAlignment="0" applyProtection="0"/>
    <xf numFmtId="183" fontId="82" fillId="48" borderId="0" applyNumberFormat="0" applyBorder="0" applyAlignment="0" applyProtection="0"/>
    <xf numFmtId="183" fontId="82" fillId="49" borderId="0" applyNumberFormat="0" applyBorder="0" applyAlignment="0" applyProtection="0"/>
    <xf numFmtId="183" fontId="82" fillId="54" borderId="0" applyNumberFormat="0" applyBorder="0" applyAlignment="0" applyProtection="0"/>
    <xf numFmtId="183" fontId="83" fillId="38" borderId="0" applyNumberFormat="0" applyBorder="0" applyAlignment="0" applyProtection="0"/>
    <xf numFmtId="183" fontId="84" fillId="55" borderId="45" applyNumberFormat="0" applyAlignment="0" applyProtection="0"/>
    <xf numFmtId="183" fontId="85" fillId="56" borderId="46" applyNumberFormat="0" applyAlignment="0" applyProtection="0"/>
    <xf numFmtId="183" fontId="88" fillId="0" borderId="0" applyNumberFormat="0" applyFill="0" applyBorder="0" applyAlignment="0" applyProtection="0"/>
    <xf numFmtId="183" fontId="89" fillId="39" borderId="0" applyNumberFormat="0" applyBorder="0" applyAlignment="0" applyProtection="0"/>
    <xf numFmtId="183" fontId="90" fillId="0" borderId="47" applyNumberFormat="0" applyFill="0" applyAlignment="0" applyProtection="0"/>
    <xf numFmtId="183" fontId="91" fillId="0" borderId="48" applyNumberFormat="0" applyFill="0" applyAlignment="0" applyProtection="0"/>
    <xf numFmtId="183" fontId="92" fillId="0" borderId="49" applyNumberFormat="0" applyFill="0" applyAlignment="0" applyProtection="0"/>
    <xf numFmtId="183" fontId="92" fillId="0" borderId="0" applyNumberFormat="0" applyFill="0" applyBorder="0" applyAlignment="0" applyProtection="0"/>
    <xf numFmtId="183" fontId="93" fillId="42" borderId="45" applyNumberFormat="0" applyAlignment="0" applyProtection="0"/>
    <xf numFmtId="183" fontId="94" fillId="0" borderId="50" applyNumberFormat="0" applyFill="0" applyAlignment="0" applyProtection="0"/>
    <xf numFmtId="183" fontId="95" fillId="57" borderId="0" applyNumberFormat="0" applyBorder="0" applyAlignment="0" applyProtection="0"/>
    <xf numFmtId="183" fontId="15" fillId="0" borderId="0"/>
    <xf numFmtId="183" fontId="15" fillId="0" borderId="0"/>
    <xf numFmtId="183" fontId="15" fillId="0" borderId="0"/>
    <xf numFmtId="183" fontId="96" fillId="0" borderId="0"/>
    <xf numFmtId="183" fontId="20" fillId="0" borderId="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8" fillId="0" borderId="0" applyNumberFormat="0" applyFill="0" applyBorder="0" applyAlignment="0" applyProtection="0"/>
    <xf numFmtId="183" fontId="99" fillId="0" borderId="53" applyNumberFormat="0" applyFill="0" applyAlignment="0" applyProtection="0"/>
    <xf numFmtId="183" fontId="100" fillId="0" borderId="0" applyNumberFormat="0" applyFill="0" applyBorder="0" applyAlignment="0" applyProtection="0"/>
    <xf numFmtId="183" fontId="86" fillId="0" borderId="0">
      <alignment horizontal="left" wrapText="1"/>
    </xf>
    <xf numFmtId="183" fontId="15" fillId="0" borderId="0"/>
    <xf numFmtId="183" fontId="15" fillId="58" borderId="51" applyNumberFormat="0" applyFont="0" applyAlignment="0" applyProtection="0"/>
    <xf numFmtId="0" fontId="20" fillId="0" borderId="0"/>
    <xf numFmtId="165" fontId="15" fillId="0" borderId="0" applyFont="0" applyFill="0" applyBorder="0" applyAlignment="0" applyProtection="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65" fontId="15" fillId="0" borderId="0" applyFont="0" applyFill="0" applyBorder="0" applyAlignment="0" applyProtection="0"/>
    <xf numFmtId="183" fontId="99" fillId="0" borderId="53" applyNumberFormat="0" applyFill="0" applyAlignment="0" applyProtection="0"/>
    <xf numFmtId="183" fontId="15" fillId="58" borderId="51" applyNumberFormat="0" applyFont="0" applyAlignment="0" applyProtection="0"/>
    <xf numFmtId="195" fontId="15" fillId="0" borderId="0"/>
    <xf numFmtId="165" fontId="15" fillId="0" borderId="0" applyFont="0" applyFill="0" applyBorder="0" applyAlignment="0" applyProtection="0"/>
    <xf numFmtId="195" fontId="28" fillId="0" borderId="0" applyNumberFormat="0" applyFill="0" applyBorder="0" applyAlignment="0" applyProtection="0">
      <alignment vertical="top"/>
      <protection locked="0"/>
    </xf>
    <xf numFmtId="195" fontId="15" fillId="0" borderId="0"/>
    <xf numFmtId="195" fontId="15" fillId="0" borderId="0"/>
    <xf numFmtId="195" fontId="15" fillId="0" borderId="0"/>
    <xf numFmtId="195" fontId="28" fillId="0" borderId="0" applyNumberFormat="0" applyFill="0" applyBorder="0" applyAlignment="0" applyProtection="0">
      <alignment vertical="top"/>
      <protection locked="0"/>
    </xf>
    <xf numFmtId="195" fontId="15" fillId="0" borderId="0"/>
    <xf numFmtId="195" fontId="28" fillId="0" borderId="0" applyNumberFormat="0" applyFill="0" applyBorder="0" applyAlignment="0" applyProtection="0">
      <alignment vertical="top"/>
      <protection locked="0"/>
    </xf>
    <xf numFmtId="195" fontId="15" fillId="0" borderId="0"/>
    <xf numFmtId="195" fontId="28" fillId="0" borderId="0" applyNumberFormat="0" applyFill="0" applyBorder="0" applyAlignment="0" applyProtection="0">
      <alignment vertical="top"/>
      <protection locked="0"/>
    </xf>
    <xf numFmtId="195" fontId="15" fillId="0" borderId="0"/>
    <xf numFmtId="195" fontId="15" fillId="0" borderId="0"/>
    <xf numFmtId="195" fontId="15" fillId="0" borderId="0"/>
    <xf numFmtId="195" fontId="15" fillId="0" borderId="0"/>
    <xf numFmtId="195" fontId="15" fillId="0" borderId="0"/>
    <xf numFmtId="195" fontId="15" fillId="0" borderId="0"/>
    <xf numFmtId="195" fontId="20" fillId="0" borderId="0"/>
    <xf numFmtId="195" fontId="81" fillId="37" borderId="0" applyNumberFormat="0" applyBorder="0" applyAlignment="0" applyProtection="0"/>
    <xf numFmtId="195" fontId="81" fillId="38" borderId="0" applyNumberFormat="0" applyBorder="0" applyAlignment="0" applyProtection="0"/>
    <xf numFmtId="195" fontId="81" fillId="39" borderId="0" applyNumberFormat="0" applyBorder="0" applyAlignment="0" applyProtection="0"/>
    <xf numFmtId="195" fontId="81" fillId="40" borderId="0" applyNumberFormat="0" applyBorder="0" applyAlignment="0" applyProtection="0"/>
    <xf numFmtId="195" fontId="81" fillId="41" borderId="0" applyNumberFormat="0" applyBorder="0" applyAlignment="0" applyProtection="0"/>
    <xf numFmtId="195" fontId="81" fillId="42" borderId="0" applyNumberFormat="0" applyBorder="0" applyAlignment="0" applyProtection="0"/>
    <xf numFmtId="195" fontId="81" fillId="43" borderId="0" applyNumberFormat="0" applyBorder="0" applyAlignment="0" applyProtection="0"/>
    <xf numFmtId="195" fontId="81" fillId="44" borderId="0" applyNumberFormat="0" applyBorder="0" applyAlignment="0" applyProtection="0"/>
    <xf numFmtId="195" fontId="81" fillId="45" borderId="0" applyNumberFormat="0" applyBorder="0" applyAlignment="0" applyProtection="0"/>
    <xf numFmtId="195" fontId="81" fillId="40" borderId="0" applyNumberFormat="0" applyBorder="0" applyAlignment="0" applyProtection="0"/>
    <xf numFmtId="195" fontId="81" fillId="43" borderId="0" applyNumberFormat="0" applyBorder="0" applyAlignment="0" applyProtection="0"/>
    <xf numFmtId="195" fontId="81" fillId="46" borderId="0" applyNumberFormat="0" applyBorder="0" applyAlignment="0" applyProtection="0"/>
    <xf numFmtId="195" fontId="82" fillId="47" borderId="0" applyNumberFormat="0" applyBorder="0" applyAlignment="0" applyProtection="0"/>
    <xf numFmtId="195" fontId="82" fillId="44" borderId="0" applyNumberFormat="0" applyBorder="0" applyAlignment="0" applyProtection="0"/>
    <xf numFmtId="195" fontId="82" fillId="45" borderId="0" applyNumberFormat="0" applyBorder="0" applyAlignment="0" applyProtection="0"/>
    <xf numFmtId="195" fontId="82" fillId="48" borderId="0" applyNumberFormat="0" applyBorder="0" applyAlignment="0" applyProtection="0"/>
    <xf numFmtId="195" fontId="82" fillId="49" borderId="0" applyNumberFormat="0" applyBorder="0" applyAlignment="0" applyProtection="0"/>
    <xf numFmtId="195" fontId="82" fillId="50" borderId="0" applyNumberFormat="0" applyBorder="0" applyAlignment="0" applyProtection="0"/>
    <xf numFmtId="195" fontId="82" fillId="51" borderId="0" applyNumberFormat="0" applyBorder="0" applyAlignment="0" applyProtection="0"/>
    <xf numFmtId="195" fontId="82" fillId="52" borderId="0" applyNumberFormat="0" applyBorder="0" applyAlignment="0" applyProtection="0"/>
    <xf numFmtId="195" fontId="82" fillId="53" borderId="0" applyNumberFormat="0" applyBorder="0" applyAlignment="0" applyProtection="0"/>
    <xf numFmtId="195" fontId="82" fillId="48" borderId="0" applyNumberFormat="0" applyBorder="0" applyAlignment="0" applyProtection="0"/>
    <xf numFmtId="195" fontId="82" fillId="49" borderId="0" applyNumberFormat="0" applyBorder="0" applyAlignment="0" applyProtection="0"/>
    <xf numFmtId="195" fontId="82" fillId="54" borderId="0" applyNumberFormat="0" applyBorder="0" applyAlignment="0" applyProtection="0"/>
    <xf numFmtId="195" fontId="83" fillId="38" borderId="0" applyNumberFormat="0" applyBorder="0" applyAlignment="0" applyProtection="0"/>
    <xf numFmtId="195" fontId="84" fillId="55" borderId="45" applyNumberFormat="0" applyAlignment="0" applyProtection="0"/>
    <xf numFmtId="195" fontId="85" fillId="56" borderId="46" applyNumberFormat="0" applyAlignment="0" applyProtection="0"/>
    <xf numFmtId="195" fontId="88" fillId="0" borderId="0" applyNumberFormat="0" applyFill="0" applyBorder="0" applyAlignment="0" applyProtection="0"/>
    <xf numFmtId="195" fontId="89" fillId="39" borderId="0" applyNumberFormat="0" applyBorder="0" applyAlignment="0" applyProtection="0"/>
    <xf numFmtId="195" fontId="90" fillId="0" borderId="47" applyNumberFormat="0" applyFill="0" applyAlignment="0" applyProtection="0"/>
    <xf numFmtId="195" fontId="91" fillId="0" borderId="48" applyNumberFormat="0" applyFill="0" applyAlignment="0" applyProtection="0"/>
    <xf numFmtId="195" fontId="92" fillId="0" borderId="49" applyNumberFormat="0" applyFill="0" applyAlignment="0" applyProtection="0"/>
    <xf numFmtId="195" fontId="92" fillId="0" borderId="0" applyNumberFormat="0" applyFill="0" applyBorder="0" applyAlignment="0" applyProtection="0"/>
    <xf numFmtId="195" fontId="93" fillId="42" borderId="45" applyNumberFormat="0" applyAlignment="0" applyProtection="0"/>
    <xf numFmtId="195" fontId="94" fillId="0" borderId="50" applyNumberFormat="0" applyFill="0" applyAlignment="0" applyProtection="0"/>
    <xf numFmtId="195" fontId="95" fillId="57" borderId="0" applyNumberFormat="0" applyBorder="0" applyAlignment="0" applyProtection="0"/>
    <xf numFmtId="195" fontId="15" fillId="0" borderId="0"/>
    <xf numFmtId="195" fontId="15" fillId="0" borderId="0"/>
    <xf numFmtId="195" fontId="15" fillId="0" borderId="0"/>
    <xf numFmtId="195" fontId="96" fillId="0" borderId="0"/>
    <xf numFmtId="195" fontId="20" fillId="0" borderId="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97" fillId="55" borderId="52" applyNumberFormat="0" applyAlignment="0" applyProtection="0"/>
    <xf numFmtId="195" fontId="98" fillId="0" borderId="0" applyNumberFormat="0" applyFill="0" applyBorder="0" applyAlignment="0" applyProtection="0"/>
    <xf numFmtId="195" fontId="99" fillId="0" borderId="53" applyNumberFormat="0" applyFill="0" applyAlignment="0" applyProtection="0"/>
    <xf numFmtId="195" fontId="100" fillId="0" borderId="0" applyNumberFormat="0" applyFill="0" applyBorder="0" applyAlignment="0" applyProtection="0"/>
    <xf numFmtId="195" fontId="86" fillId="0" borderId="0">
      <alignment horizontal="left" wrapText="1"/>
    </xf>
    <xf numFmtId="195" fontId="15" fillId="0" borderId="0"/>
    <xf numFmtId="195" fontId="15" fillId="58" borderId="51" applyNumberFormat="0" applyFont="0" applyAlignment="0" applyProtection="0"/>
    <xf numFmtId="195" fontId="20" fillId="0" borderId="0"/>
    <xf numFmtId="0" fontId="96" fillId="0" borderId="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0" fontId="84" fillId="55" borderId="45" applyNumberFormat="0" applyAlignment="0" applyProtection="0"/>
    <xf numFmtId="0" fontId="93" fillId="42" borderId="45" applyNumberForma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97" fillId="55" borderId="52" applyNumberFormat="0" applyAlignment="0" applyProtection="0"/>
    <xf numFmtId="0" fontId="99" fillId="0" borderId="53" applyNumberFormat="0" applyFill="0" applyAlignment="0" applyProtection="0"/>
    <xf numFmtId="0"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83" fontId="15" fillId="0" borderId="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95" fontId="15" fillId="0" borderId="0"/>
    <xf numFmtId="195" fontId="84" fillId="55" borderId="45" applyNumberFormat="0" applyAlignment="0" applyProtection="0"/>
    <xf numFmtId="195" fontId="93" fillId="42" borderId="45" applyNumberForma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97" fillId="55" borderId="52" applyNumberFormat="0" applyAlignment="0" applyProtection="0"/>
    <xf numFmtId="195" fontId="99" fillId="0" borderId="53" applyNumberFormat="0" applyFill="0" applyAlignment="0" applyProtection="0"/>
    <xf numFmtId="195" fontId="15" fillId="58" borderId="51"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0" fontId="84" fillId="55" borderId="45" applyNumberFormat="0" applyAlignment="0" applyProtection="0"/>
    <xf numFmtId="43" fontId="15" fillId="0" borderId="0" applyFont="0" applyFill="0" applyBorder="0" applyAlignment="0" applyProtection="0"/>
    <xf numFmtId="0" fontId="93" fillId="42" borderId="45" applyNumberFormat="0" applyAlignment="0" applyProtection="0"/>
    <xf numFmtId="0" fontId="15" fillId="58" borderId="51" applyNumberFormat="0" applyFont="0" applyAlignment="0" applyProtection="0"/>
    <xf numFmtId="0" fontId="97" fillId="55" borderId="52" applyNumberFormat="0" applyAlignment="0" applyProtection="0"/>
    <xf numFmtId="0" fontId="99" fillId="0" borderId="53" applyNumberFormat="0" applyFill="0" applyAlignment="0" applyProtection="0"/>
    <xf numFmtId="0" fontId="96" fillId="0" borderId="0"/>
    <xf numFmtId="9" fontId="96" fillId="0" borderId="0" applyFont="0" applyFill="0" applyBorder="0" applyAlignment="0" applyProtection="0"/>
    <xf numFmtId="165" fontId="96" fillId="0" borderId="0" applyFont="0" applyFill="0" applyBorder="0" applyAlignment="0" applyProtection="0"/>
    <xf numFmtId="164" fontId="96"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194" fontId="97" fillId="55" borderId="52"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93" fillId="42" borderId="45" applyNumberForma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99" fillId="0" borderId="53" applyNumberFormat="0" applyFill="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84" fillId="55" borderId="45" applyNumberFormat="0" applyAlignment="0" applyProtection="0"/>
    <xf numFmtId="43" fontId="15" fillId="0" borderId="0" applyFont="0" applyFill="0" applyBorder="0" applyAlignment="0" applyProtection="0"/>
    <xf numFmtId="0" fontId="93" fillId="42" borderId="45" applyNumberFormat="0" applyAlignment="0" applyProtection="0"/>
    <xf numFmtId="43" fontId="15" fillId="0" borderId="0" applyFont="0" applyFill="0" applyBorder="0" applyAlignment="0" applyProtection="0"/>
    <xf numFmtId="0" fontId="15" fillId="58" borderId="51" applyNumberFormat="0" applyFont="0" applyAlignment="0" applyProtection="0"/>
    <xf numFmtId="0" fontId="97" fillId="55" borderId="52" applyNumberFormat="0" applyAlignment="0" applyProtection="0"/>
    <xf numFmtId="43" fontId="15" fillId="0" borderId="0" applyFont="0" applyFill="0" applyBorder="0" applyAlignment="0" applyProtection="0"/>
    <xf numFmtId="0" fontId="99" fillId="0" borderId="53"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194" fontId="15" fillId="58" borderId="51" applyNumberFormat="0" applyFont="0" applyAlignment="0" applyProtection="0"/>
    <xf numFmtId="0" fontId="15" fillId="58" borderId="51" applyNumberFormat="0" applyFont="0" applyAlignment="0" applyProtection="0"/>
    <xf numFmtId="0"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84" fillId="55"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84" fillId="55"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99" fillId="0" borderId="53" applyNumberFormat="0" applyFill="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7" fillId="55" borderId="52" applyNumberFormat="0" applyAlignment="0" applyProtection="0"/>
    <xf numFmtId="194" fontId="99" fillId="0" borderId="53" applyNumberFormat="0" applyFill="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7" fillId="55" borderId="52" applyNumberFormat="0" applyAlignment="0" applyProtection="0"/>
    <xf numFmtId="0"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0" fontId="84" fillId="55" borderId="45" applyNumberFormat="0" applyAlignment="0" applyProtection="0"/>
    <xf numFmtId="194" fontId="97" fillId="55" borderId="52" applyNumberFormat="0" applyAlignment="0" applyProtection="0"/>
    <xf numFmtId="194" fontId="15" fillId="58" borderId="51" applyNumberFormat="0" applyFont="0" applyAlignment="0" applyProtection="0"/>
    <xf numFmtId="0" fontId="93" fillId="42" borderId="45" applyNumberFormat="0" applyAlignment="0" applyProtection="0"/>
    <xf numFmtId="194" fontId="99" fillId="0" borderId="53" applyNumberFormat="0" applyFill="0" applyAlignment="0" applyProtection="0"/>
    <xf numFmtId="194" fontId="93" fillId="42" borderId="45" applyNumberForma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97" fillId="55" borderId="52" applyNumberFormat="0" applyAlignment="0" applyProtection="0"/>
    <xf numFmtId="0" fontId="99" fillId="0" borderId="53" applyNumberFormat="0" applyFill="0" applyAlignment="0" applyProtection="0"/>
    <xf numFmtId="0"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0"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83"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0"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84" fillId="55" borderId="45" applyNumberFormat="0" applyAlignment="0" applyProtection="0"/>
    <xf numFmtId="194" fontId="15" fillId="58" borderId="51" applyNumberFormat="0" applyFont="0" applyAlignment="0" applyProtection="0"/>
    <xf numFmtId="194" fontId="99" fillId="0" borderId="53" applyNumberFormat="0" applyFill="0" applyAlignment="0" applyProtection="0"/>
    <xf numFmtId="195"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5" fontId="93" fillId="42" borderId="45" applyNumberForma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97" fillId="55" borderId="52" applyNumberFormat="0" applyAlignment="0" applyProtection="0"/>
    <xf numFmtId="195" fontId="99" fillId="0" borderId="53" applyNumberFormat="0" applyFill="0" applyAlignment="0" applyProtection="0"/>
    <xf numFmtId="195"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0" fontId="84" fillId="55" borderId="45" applyNumberFormat="0" applyAlignment="0" applyProtection="0"/>
    <xf numFmtId="0" fontId="93" fillId="42" borderId="45" applyNumberForma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97" fillId="55" borderId="52" applyNumberFormat="0" applyAlignment="0" applyProtection="0"/>
    <xf numFmtId="0" fontId="99" fillId="0" borderId="53" applyNumberFormat="0" applyFill="0" applyAlignment="0" applyProtection="0"/>
    <xf numFmtId="0"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95" fontId="84" fillId="55" borderId="45" applyNumberFormat="0" applyAlignment="0" applyProtection="0"/>
    <xf numFmtId="195" fontId="93" fillId="42" borderId="45" applyNumberForma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97" fillId="55" borderId="52" applyNumberFormat="0" applyAlignment="0" applyProtection="0"/>
    <xf numFmtId="195" fontId="99" fillId="0" borderId="53" applyNumberFormat="0" applyFill="0" applyAlignment="0" applyProtection="0"/>
    <xf numFmtId="195" fontId="15" fillId="58" borderId="51" applyNumberFormat="0" applyFont="0" applyAlignment="0" applyProtection="0"/>
    <xf numFmtId="0" fontId="84" fillId="55" borderId="45" applyNumberFormat="0" applyAlignment="0" applyProtection="0"/>
    <xf numFmtId="0" fontId="93" fillId="42" borderId="45" applyNumberFormat="0" applyAlignment="0" applyProtection="0"/>
    <xf numFmtId="0" fontId="15" fillId="58" borderId="51" applyNumberFormat="0" applyFont="0" applyAlignment="0" applyProtection="0"/>
    <xf numFmtId="0" fontId="97" fillId="55" borderId="52" applyNumberFormat="0" applyAlignment="0" applyProtection="0"/>
    <xf numFmtId="0"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97" fillId="55" borderId="52" applyNumberFormat="0" applyAlignment="0" applyProtection="0"/>
    <xf numFmtId="0" fontId="99" fillId="0" borderId="53" applyNumberFormat="0" applyFill="0" applyAlignment="0" applyProtection="0"/>
    <xf numFmtId="0"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95" fontId="84" fillId="55" borderId="45" applyNumberFormat="0" applyAlignment="0" applyProtection="0"/>
    <xf numFmtId="195" fontId="93" fillId="42" borderId="45" applyNumberForma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97" fillId="55" borderId="52" applyNumberFormat="0" applyAlignment="0" applyProtection="0"/>
    <xf numFmtId="195" fontId="99" fillId="0" borderId="53" applyNumberFormat="0" applyFill="0" applyAlignment="0" applyProtection="0"/>
    <xf numFmtId="195"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0" fontId="84" fillId="55" borderId="45" applyNumberFormat="0" applyAlignment="0" applyProtection="0"/>
    <xf numFmtId="0" fontId="93" fillId="42" borderId="45" applyNumberForma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15" fillId="58" borderId="51" applyNumberFormat="0" applyFont="0" applyAlignment="0" applyProtection="0"/>
    <xf numFmtId="0" fontId="97" fillId="55" borderId="52" applyNumberFormat="0" applyAlignment="0" applyProtection="0"/>
    <xf numFmtId="0" fontId="99" fillId="0" borderId="53" applyNumberFormat="0" applyFill="0" applyAlignment="0" applyProtection="0"/>
    <xf numFmtId="0"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15" fillId="58" borderId="51" applyNumberFormat="0" applyFont="0" applyAlignment="0" applyProtection="0"/>
    <xf numFmtId="194" fontId="99" fillId="0" borderId="53" applyNumberFormat="0" applyFill="0" applyAlignment="0" applyProtection="0"/>
    <xf numFmtId="194" fontId="97" fillId="55" borderId="52" applyNumberForma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3" fillId="42" borderId="45" applyNumberFormat="0" applyAlignment="0" applyProtection="0"/>
    <xf numFmtId="194" fontId="93" fillId="42" borderId="45"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97" fillId="55" borderId="52" applyNumberFormat="0" applyAlignment="0" applyProtection="0"/>
    <xf numFmtId="194" fontId="93" fillId="42" borderId="45" applyNumberFormat="0" applyAlignment="0" applyProtection="0"/>
    <xf numFmtId="194" fontId="84" fillId="55" borderId="45" applyNumberForma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94" fontId="84" fillId="55" borderId="45" applyNumberFormat="0" applyAlignment="0" applyProtection="0"/>
    <xf numFmtId="194" fontId="93" fillId="42" borderId="45" applyNumberForma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15" fillId="58" borderId="51" applyNumberFormat="0" applyFont="0" applyAlignment="0" applyProtection="0"/>
    <xf numFmtId="194" fontId="97" fillId="55" borderId="52" applyNumberFormat="0" applyAlignment="0" applyProtection="0"/>
    <xf numFmtId="194" fontId="99" fillId="0" borderId="53" applyNumberFormat="0" applyFill="0" applyAlignment="0" applyProtection="0"/>
    <xf numFmtId="194" fontId="15" fillId="58" borderId="51" applyNumberFormat="0" applyFont="0" applyAlignment="0" applyProtection="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83" fontId="84" fillId="55" borderId="45" applyNumberFormat="0" applyAlignment="0" applyProtection="0"/>
    <xf numFmtId="183" fontId="93" fillId="42" borderId="45" applyNumberForma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15" fillId="58" borderId="51" applyNumberFormat="0" applyFont="0" applyAlignment="0" applyProtection="0"/>
    <xf numFmtId="183" fontId="97" fillId="55" borderId="52" applyNumberFormat="0" applyAlignment="0" applyProtection="0"/>
    <xf numFmtId="183" fontId="99" fillId="0" borderId="53" applyNumberFormat="0" applyFill="0" applyAlignment="0" applyProtection="0"/>
    <xf numFmtId="183" fontId="15" fillId="58" borderId="51" applyNumberFormat="0" applyFont="0" applyAlignment="0" applyProtection="0"/>
    <xf numFmtId="195" fontId="84" fillId="55" borderId="45" applyNumberFormat="0" applyAlignment="0" applyProtection="0"/>
    <xf numFmtId="195" fontId="93" fillId="42" borderId="45" applyNumberForma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15" fillId="58" borderId="51" applyNumberFormat="0" applyFont="0" applyAlignment="0" applyProtection="0"/>
    <xf numFmtId="195" fontId="97" fillId="55" borderId="52" applyNumberFormat="0" applyAlignment="0" applyProtection="0"/>
    <xf numFmtId="195" fontId="99" fillId="0" borderId="53" applyNumberFormat="0" applyFill="0" applyAlignment="0" applyProtection="0"/>
    <xf numFmtId="195" fontId="15" fillId="58" borderId="51" applyNumberFormat="0" applyFont="0" applyAlignment="0" applyProtection="0"/>
    <xf numFmtId="0" fontId="84" fillId="55" borderId="45" applyNumberFormat="0" applyAlignment="0" applyProtection="0"/>
    <xf numFmtId="0" fontId="93" fillId="42" borderId="45" applyNumberFormat="0" applyAlignment="0" applyProtection="0"/>
    <xf numFmtId="0" fontId="15" fillId="58" borderId="51" applyNumberFormat="0" applyFont="0" applyAlignment="0" applyProtection="0"/>
    <xf numFmtId="0" fontId="97" fillId="55" borderId="52" applyNumberFormat="0" applyAlignment="0" applyProtection="0"/>
    <xf numFmtId="0" fontId="99" fillId="0" borderId="53" applyNumberFormat="0" applyFill="0" applyAlignment="0" applyProtection="0"/>
    <xf numFmtId="0" fontId="10" fillId="0" borderId="0"/>
    <xf numFmtId="0" fontId="10" fillId="12" borderId="39"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9" fillId="0" borderId="0"/>
    <xf numFmtId="0" fontId="9" fillId="12" borderId="39"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8" fillId="0" borderId="0"/>
    <xf numFmtId="43" fontId="8" fillId="0" borderId="0" applyFont="0" applyFill="0" applyBorder="0" applyAlignment="0" applyProtection="0"/>
    <xf numFmtId="183" fontId="15" fillId="0" borderId="0"/>
    <xf numFmtId="165" fontId="15" fillId="0" borderId="0" applyFont="0" applyFill="0" applyBorder="0" applyAlignment="0" applyProtection="0"/>
    <xf numFmtId="9" fontId="15" fillId="0" borderId="0" applyFont="0" applyFill="0" applyBorder="0" applyAlignment="0" applyProtection="0"/>
    <xf numFmtId="0" fontId="64" fillId="0" borderId="32" applyNumberFormat="0" applyFill="0" applyAlignment="0" applyProtection="0"/>
    <xf numFmtId="0" fontId="65" fillId="0" borderId="33"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7" fillId="6" borderId="0" applyNumberFormat="0" applyBorder="0" applyAlignment="0" applyProtection="0"/>
    <xf numFmtId="0" fontId="68" fillId="7" borderId="0" applyNumberFormat="0" applyBorder="0" applyAlignment="0" applyProtection="0"/>
    <xf numFmtId="0" fontId="69" fillId="8" borderId="0" applyNumberFormat="0" applyBorder="0" applyAlignment="0" applyProtection="0"/>
    <xf numFmtId="0" fontId="70" fillId="9" borderId="35" applyNumberFormat="0" applyAlignment="0" applyProtection="0"/>
    <xf numFmtId="0" fontId="71" fillId="10" borderId="36" applyNumberFormat="0" applyAlignment="0" applyProtection="0"/>
    <xf numFmtId="0" fontId="72" fillId="10" borderId="35" applyNumberFormat="0" applyAlignment="0" applyProtection="0"/>
    <xf numFmtId="0" fontId="73" fillId="0" borderId="37" applyNumberFormat="0" applyFill="0" applyAlignment="0" applyProtection="0"/>
    <xf numFmtId="0" fontId="74" fillId="11" borderId="38" applyNumberForma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40" applyNumberFormat="0" applyFill="0" applyAlignment="0" applyProtection="0"/>
    <xf numFmtId="0" fontId="7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78" fillId="36" borderId="0" applyNumberFormat="0" applyBorder="0" applyAlignment="0" applyProtection="0"/>
    <xf numFmtId="0" fontId="8" fillId="0" borderId="0"/>
    <xf numFmtId="0" fontId="8" fillId="12" borderId="39"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2" borderId="39"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2" borderId="39"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64" fontId="15" fillId="0" borderId="0" applyFont="0" applyFill="0" applyBorder="0" applyAlignment="0" applyProtection="0"/>
    <xf numFmtId="0" fontId="8" fillId="0" borderId="0"/>
    <xf numFmtId="0" fontId="8" fillId="12" borderId="39"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8" fillId="0" borderId="0"/>
    <xf numFmtId="0" fontId="8" fillId="12" borderId="39"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7" fillId="0" borderId="0"/>
    <xf numFmtId="0" fontId="7" fillId="12" borderId="39"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12" borderId="39"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12" borderId="39"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65" fontId="87"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165" fontId="87" fillId="0" borderId="0" applyFont="0" applyFill="0" applyBorder="0" applyAlignment="0" applyProtection="0"/>
    <xf numFmtId="164" fontId="8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1" fillId="12" borderId="39" applyNumberFormat="0" applyFont="0" applyAlignment="0" applyProtection="0"/>
    <xf numFmtId="0" fontId="81" fillId="12" borderId="39" applyNumberFormat="0" applyFont="0" applyAlignment="0" applyProtection="0"/>
    <xf numFmtId="0" fontId="120" fillId="12" borderId="39" applyNumberFormat="0" applyFont="0" applyAlignment="0" applyProtection="0"/>
    <xf numFmtId="0" fontId="120" fillId="12" borderId="39" applyNumberFormat="0" applyFont="0" applyAlignment="0" applyProtection="0"/>
    <xf numFmtId="0" fontId="120" fillId="12" borderId="39" applyNumberFormat="0" applyFont="0" applyAlignment="0" applyProtection="0"/>
    <xf numFmtId="9" fontId="87"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0" borderId="0"/>
    <xf numFmtId="0" fontId="3" fillId="12" borderId="39" applyNumberFormat="0" applyFont="0" applyAlignment="0" applyProtection="0"/>
    <xf numFmtId="0" fontId="4" fillId="12" borderId="39" applyNumberFormat="0" applyFont="0" applyAlignment="0" applyProtection="0"/>
    <xf numFmtId="0" fontId="4" fillId="12" borderId="39" applyNumberFormat="0" applyFont="0" applyAlignment="0" applyProtection="0"/>
    <xf numFmtId="0" fontId="4"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2" borderId="39" applyNumberFormat="0" applyFont="0" applyAlignment="0" applyProtection="0"/>
    <xf numFmtId="0" fontId="1" fillId="0" borderId="0"/>
    <xf numFmtId="0" fontId="1" fillId="12" borderId="3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509">
    <xf numFmtId="183" fontId="0" fillId="0" borderId="0" xfId="0"/>
    <xf numFmtId="183" fontId="25" fillId="0" borderId="0" xfId="0" applyFont="1" applyFill="1" applyBorder="1"/>
    <xf numFmtId="183" fontId="0" fillId="0" borderId="0" xfId="0" applyFill="1" applyBorder="1"/>
    <xf numFmtId="183" fontId="0" fillId="0" borderId="0" xfId="0" applyBorder="1"/>
    <xf numFmtId="183" fontId="18" fillId="0" borderId="0" xfId="0" applyFont="1" applyFill="1" applyBorder="1" applyAlignment="1">
      <alignment horizontal="left"/>
    </xf>
    <xf numFmtId="183" fontId="19" fillId="0" borderId="0" xfId="0" applyFont="1" applyFill="1" applyBorder="1"/>
    <xf numFmtId="183" fontId="20" fillId="0" borderId="0" xfId="0" applyFont="1" applyFill="1" applyBorder="1"/>
    <xf numFmtId="183" fontId="22" fillId="0" borderId="0" xfId="0" applyFont="1" applyFill="1" applyBorder="1"/>
    <xf numFmtId="166" fontId="20" fillId="0" borderId="0" xfId="0" applyNumberFormat="1" applyFont="1" applyFill="1" applyBorder="1"/>
    <xf numFmtId="167" fontId="20" fillId="0" borderId="0" xfId="0" applyNumberFormat="1" applyFont="1" applyFill="1" applyBorder="1"/>
    <xf numFmtId="167" fontId="17" fillId="0" borderId="0" xfId="0" applyNumberFormat="1" applyFont="1" applyBorder="1"/>
    <xf numFmtId="183" fontId="0" fillId="0" borderId="0" xfId="0" applyFill="1" applyBorder="1" applyAlignment="1"/>
    <xf numFmtId="183" fontId="26" fillId="0" borderId="1" xfId="0" applyFont="1" applyFill="1" applyBorder="1" applyAlignment="1">
      <alignment horizontal="center"/>
    </xf>
    <xf numFmtId="183" fontId="26" fillId="0" borderId="0" xfId="0" applyFont="1" applyFill="1" applyBorder="1" applyAlignment="1">
      <alignment horizontal="center"/>
    </xf>
    <xf numFmtId="183" fontId="27" fillId="0" borderId="0" xfId="0" applyFont="1" applyFill="1" applyBorder="1" applyAlignment="1">
      <alignment horizontal="center"/>
    </xf>
    <xf numFmtId="183" fontId="0" fillId="0" borderId="2" xfId="0" applyBorder="1"/>
    <xf numFmtId="183" fontId="0" fillId="0" borderId="3" xfId="0" applyBorder="1"/>
    <xf numFmtId="183" fontId="0" fillId="0" borderId="4" xfId="0" applyBorder="1"/>
    <xf numFmtId="183" fontId="26" fillId="0" borderId="5" xfId="0" applyFont="1" applyFill="1" applyBorder="1" applyAlignment="1">
      <alignment horizontal="center"/>
    </xf>
    <xf numFmtId="183" fontId="26" fillId="0" borderId="6" xfId="0" applyFont="1" applyFill="1" applyBorder="1" applyAlignment="1">
      <alignment horizontal="center"/>
    </xf>
    <xf numFmtId="183" fontId="0" fillId="0" borderId="7" xfId="0" applyBorder="1"/>
    <xf numFmtId="183" fontId="26" fillId="0" borderId="8" xfId="0" applyFont="1" applyFill="1" applyBorder="1" applyAlignment="1">
      <alignment horizontal="center"/>
    </xf>
    <xf numFmtId="183" fontId="0" fillId="0" borderId="9" xfId="0" applyBorder="1"/>
    <xf numFmtId="183" fontId="0" fillId="0" borderId="10" xfId="0" applyBorder="1"/>
    <xf numFmtId="183" fontId="0" fillId="0" borderId="11" xfId="0" applyBorder="1"/>
    <xf numFmtId="183" fontId="0" fillId="0" borderId="6" xfId="0" applyBorder="1"/>
    <xf numFmtId="168" fontId="20" fillId="0" borderId="11" xfId="1" applyNumberFormat="1" applyFont="1" applyFill="1" applyBorder="1"/>
    <xf numFmtId="167" fontId="20" fillId="0" borderId="11" xfId="7" applyNumberFormat="1" applyFont="1" applyFill="1" applyBorder="1" applyAlignment="1">
      <alignment horizontal="right"/>
    </xf>
    <xf numFmtId="168" fontId="20" fillId="0" borderId="0" xfId="1" applyNumberFormat="1" applyFont="1" applyFill="1" applyBorder="1"/>
    <xf numFmtId="169" fontId="20" fillId="0" borderId="0" xfId="0" applyNumberFormat="1" applyFont="1" applyFill="1" applyBorder="1"/>
    <xf numFmtId="169" fontId="20" fillId="0" borderId="0" xfId="1" applyNumberFormat="1" applyFont="1" applyFill="1" applyBorder="1"/>
    <xf numFmtId="171" fontId="20" fillId="0" borderId="0" xfId="0" applyNumberFormat="1" applyFont="1" applyFill="1" applyBorder="1"/>
    <xf numFmtId="167" fontId="20" fillId="0" borderId="0" xfId="7" applyNumberFormat="1" applyFont="1" applyFill="1" applyBorder="1"/>
    <xf numFmtId="172" fontId="20" fillId="0" borderId="0" xfId="0" applyNumberFormat="1" applyFont="1" applyFill="1" applyBorder="1"/>
    <xf numFmtId="168" fontId="20" fillId="0" borderId="10" xfId="1" applyNumberFormat="1" applyFont="1" applyFill="1" applyBorder="1"/>
    <xf numFmtId="167" fontId="20" fillId="0" borderId="0" xfId="7" applyNumberFormat="1" applyFont="1" applyFill="1" applyBorder="1" applyAlignment="1">
      <alignment horizontal="right"/>
    </xf>
    <xf numFmtId="170" fontId="20" fillId="0" borderId="0" xfId="7" applyNumberFormat="1" applyFont="1" applyFill="1" applyBorder="1"/>
    <xf numFmtId="168" fontId="20" fillId="0" borderId="9" xfId="1" applyNumberFormat="1" applyFont="1" applyFill="1" applyBorder="1"/>
    <xf numFmtId="39" fontId="20" fillId="0" borderId="0" xfId="0" applyNumberFormat="1" applyFont="1" applyFill="1" applyBorder="1"/>
    <xf numFmtId="167" fontId="20" fillId="0" borderId="11" xfId="0" applyNumberFormat="1" applyFont="1" applyFill="1" applyBorder="1"/>
    <xf numFmtId="167" fontId="25" fillId="0" borderId="0" xfId="7" applyNumberFormat="1" applyFont="1" applyFill="1" applyBorder="1" applyAlignment="1">
      <alignment horizontal="right"/>
    </xf>
    <xf numFmtId="169" fontId="25" fillId="0" borderId="0" xfId="0" applyNumberFormat="1" applyFont="1" applyFill="1" applyBorder="1"/>
    <xf numFmtId="167" fontId="25" fillId="0" borderId="0" xfId="0" applyNumberFormat="1" applyFont="1" applyFill="1" applyBorder="1"/>
    <xf numFmtId="167" fontId="25" fillId="0" borderId="0" xfId="7" applyNumberFormat="1" applyFont="1" applyFill="1" applyBorder="1"/>
    <xf numFmtId="183" fontId="20" fillId="0" borderId="0" xfId="0" applyFont="1"/>
    <xf numFmtId="168" fontId="20" fillId="0" borderId="10" xfId="0" applyNumberFormat="1" applyFont="1" applyFill="1" applyBorder="1"/>
    <xf numFmtId="183" fontId="26" fillId="0" borderId="7" xfId="0" applyFont="1" applyFill="1" applyBorder="1" applyAlignment="1">
      <alignment horizontal="center"/>
    </xf>
    <xf numFmtId="183" fontId="20" fillId="0" borderId="9" xfId="0" applyFont="1" applyBorder="1"/>
    <xf numFmtId="183" fontId="29" fillId="0" borderId="0" xfId="0" applyFont="1" applyAlignment="1">
      <alignment horizontal="center"/>
    </xf>
    <xf numFmtId="183" fontId="0" fillId="0" borderId="0" xfId="0" applyAlignment="1">
      <alignment horizontal="right"/>
    </xf>
    <xf numFmtId="183" fontId="0" fillId="0" borderId="0" xfId="0" applyAlignment="1">
      <alignment wrapText="1"/>
    </xf>
    <xf numFmtId="183" fontId="0" fillId="2" borderId="0" xfId="0" applyFill="1"/>
    <xf numFmtId="183" fontId="32" fillId="0" borderId="0" xfId="0" applyFont="1" applyAlignment="1">
      <alignment horizontal="center"/>
    </xf>
    <xf numFmtId="183" fontId="29" fillId="0" borderId="0" xfId="0" applyFont="1"/>
    <xf numFmtId="183" fontId="0" fillId="0" borderId="0" xfId="0" applyNumberFormat="1" applyFill="1" applyAlignment="1">
      <alignment horizontal="center"/>
    </xf>
    <xf numFmtId="183" fontId="0" fillId="0" borderId="0" xfId="0" applyAlignment="1">
      <alignment horizontal="center"/>
    </xf>
    <xf numFmtId="183" fontId="0" fillId="0" borderId="0" xfId="0" applyFill="1" applyAlignment="1">
      <alignment wrapText="1"/>
    </xf>
    <xf numFmtId="183" fontId="0" fillId="0" borderId="0" xfId="0" applyNumberFormat="1" applyBorder="1" applyAlignment="1">
      <alignment horizontal="center"/>
    </xf>
    <xf numFmtId="183" fontId="0" fillId="0" borderId="0" xfId="0" applyNumberFormat="1" applyFill="1" applyBorder="1" applyAlignment="1">
      <alignment horizontal="center"/>
    </xf>
    <xf numFmtId="183" fontId="29" fillId="0" borderId="0" xfId="0" applyFont="1" applyBorder="1" applyAlignment="1">
      <alignment horizontal="left"/>
    </xf>
    <xf numFmtId="183" fontId="28" fillId="0" borderId="0" xfId="5" applyFont="1" applyBorder="1" applyAlignment="1" applyProtection="1">
      <alignment horizontal="center"/>
    </xf>
    <xf numFmtId="183" fontId="0" fillId="0" borderId="0" xfId="0" applyFill="1"/>
    <xf numFmtId="10" fontId="0" fillId="0" borderId="0" xfId="0" applyNumberFormat="1"/>
    <xf numFmtId="183" fontId="20" fillId="0" borderId="0" xfId="0" applyFont="1" applyAlignment="1"/>
    <xf numFmtId="183" fontId="0" fillId="0" borderId="0" xfId="0" applyAlignment="1"/>
    <xf numFmtId="183" fontId="0" fillId="0" borderId="0" xfId="0" applyFill="1" applyAlignment="1"/>
    <xf numFmtId="183" fontId="27" fillId="0" borderId="0" xfId="0" applyFont="1"/>
    <xf numFmtId="183" fontId="33" fillId="0" borderId="0" xfId="0" applyFont="1"/>
    <xf numFmtId="183" fontId="34" fillId="3" borderId="12" xfId="0" applyFont="1" applyFill="1" applyBorder="1" applyAlignment="1">
      <alignment horizontal="left"/>
    </xf>
    <xf numFmtId="183" fontId="35" fillId="3" borderId="13" xfId="0" applyFont="1" applyFill="1" applyBorder="1"/>
    <xf numFmtId="183" fontId="35" fillId="3" borderId="14" xfId="0" applyFont="1" applyFill="1" applyBorder="1"/>
    <xf numFmtId="183" fontId="36" fillId="0" borderId="0" xfId="0" applyFont="1"/>
    <xf numFmtId="183" fontId="36" fillId="0" borderId="2" xfId="0" applyFont="1" applyBorder="1"/>
    <xf numFmtId="183" fontId="36" fillId="0" borderId="3" xfId="0" applyFont="1" applyBorder="1"/>
    <xf numFmtId="183" fontId="36" fillId="0" borderId="3" xfId="0" applyFont="1" applyBorder="1" applyAlignment="1">
      <alignment horizontal="right"/>
    </xf>
    <xf numFmtId="183" fontId="36" fillId="0" borderId="4" xfId="0" applyFont="1" applyBorder="1"/>
    <xf numFmtId="183" fontId="36" fillId="0" borderId="11" xfId="0" applyFont="1" applyBorder="1"/>
    <xf numFmtId="183" fontId="36" fillId="0" borderId="11" xfId="0" applyFont="1" applyFill="1" applyBorder="1"/>
    <xf numFmtId="183" fontId="36" fillId="0" borderId="1" xfId="0" applyFont="1" applyBorder="1"/>
    <xf numFmtId="183" fontId="37" fillId="0" borderId="0" xfId="0" applyFont="1"/>
    <xf numFmtId="183" fontId="38" fillId="0" borderId="0" xfId="0" applyFont="1"/>
    <xf numFmtId="183" fontId="36" fillId="0" borderId="0" xfId="0" applyFont="1" applyAlignment="1">
      <alignment wrapText="1"/>
    </xf>
    <xf numFmtId="183" fontId="39" fillId="0" borderId="0" xfId="0" applyFont="1"/>
    <xf numFmtId="183" fontId="40" fillId="0" borderId="0" xfId="0" applyFont="1"/>
    <xf numFmtId="183" fontId="17" fillId="0" borderId="0" xfId="0" applyFont="1"/>
    <xf numFmtId="183" fontId="29" fillId="0" borderId="0" xfId="0" applyFont="1" applyFill="1" applyAlignment="1"/>
    <xf numFmtId="183" fontId="39" fillId="0" borderId="0" xfId="0" applyFont="1" applyFill="1"/>
    <xf numFmtId="183" fontId="41" fillId="0" borderId="0" xfId="0" applyFont="1"/>
    <xf numFmtId="183" fontId="26" fillId="0" borderId="0" xfId="0" applyFont="1" applyFill="1" applyBorder="1"/>
    <xf numFmtId="183" fontId="26" fillId="0" borderId="0" xfId="0" applyFont="1"/>
    <xf numFmtId="183" fontId="20" fillId="0" borderId="0" xfId="0" applyFont="1" applyFill="1"/>
    <xf numFmtId="167" fontId="20" fillId="0" borderId="0" xfId="0" applyNumberFormat="1" applyFont="1"/>
    <xf numFmtId="167" fontId="20" fillId="0" borderId="0" xfId="0" applyNumberFormat="1" applyFont="1" applyFill="1"/>
    <xf numFmtId="183" fontId="19" fillId="0" borderId="0" xfId="0" applyFont="1"/>
    <xf numFmtId="183" fontId="20" fillId="0" borderId="0" xfId="0" applyFont="1" applyBorder="1"/>
    <xf numFmtId="167" fontId="20" fillId="0" borderId="1" xfId="7" applyNumberFormat="1" applyFont="1" applyFill="1" applyBorder="1" applyAlignment="1">
      <alignment horizontal="right"/>
    </xf>
    <xf numFmtId="168" fontId="0" fillId="0" borderId="0" xfId="0" applyNumberFormat="1" applyFill="1" applyBorder="1"/>
    <xf numFmtId="167" fontId="0" fillId="0" borderId="0" xfId="0" applyNumberFormat="1" applyFill="1" applyBorder="1"/>
    <xf numFmtId="169" fontId="0" fillId="0" borderId="0" xfId="0" applyNumberFormat="1" applyFill="1" applyBorder="1"/>
    <xf numFmtId="168" fontId="20" fillId="0" borderId="0" xfId="0" applyNumberFormat="1" applyFont="1" applyFill="1" applyBorder="1"/>
    <xf numFmtId="168" fontId="20" fillId="0" borderId="5" xfId="0" applyNumberFormat="1" applyFont="1" applyFill="1" applyBorder="1"/>
    <xf numFmtId="167" fontId="20" fillId="0" borderId="1" xfId="0" applyNumberFormat="1" applyFont="1" applyFill="1" applyBorder="1"/>
    <xf numFmtId="168" fontId="20" fillId="0" borderId="4" xfId="1" applyNumberFormat="1" applyFont="1" applyFill="1" applyBorder="1"/>
    <xf numFmtId="168" fontId="20" fillId="0" borderId="6" xfId="1" applyNumberFormat="1" applyFont="1" applyFill="1" applyBorder="1"/>
    <xf numFmtId="168" fontId="20" fillId="0" borderId="1" xfId="1" applyNumberFormat="1" applyFont="1" applyFill="1" applyBorder="1"/>
    <xf numFmtId="168" fontId="20" fillId="0" borderId="8" xfId="1" applyNumberFormat="1" applyFont="1" applyFill="1" applyBorder="1"/>
    <xf numFmtId="37" fontId="20" fillId="0" borderId="9" xfId="1" applyNumberFormat="1" applyFont="1" applyFill="1" applyBorder="1"/>
    <xf numFmtId="176" fontId="20" fillId="0" borderId="0" xfId="0" applyNumberFormat="1" applyFont="1" applyFill="1" applyBorder="1" applyAlignment="1">
      <alignment horizontal="right"/>
    </xf>
    <xf numFmtId="183" fontId="20" fillId="0" borderId="10" xfId="0" applyFont="1" applyBorder="1"/>
    <xf numFmtId="183" fontId="20" fillId="0" borderId="4" xfId="0" applyFont="1" applyBorder="1"/>
    <xf numFmtId="183" fontId="20" fillId="0" borderId="11" xfId="0" applyFont="1" applyBorder="1"/>
    <xf numFmtId="168" fontId="20" fillId="0" borderId="0" xfId="0" applyNumberFormat="1" applyFont="1"/>
    <xf numFmtId="168" fontId="20" fillId="0" borderId="11" xfId="0" applyNumberFormat="1" applyFont="1" applyBorder="1"/>
    <xf numFmtId="168" fontId="20" fillId="0" borderId="12" xfId="1" applyNumberFormat="1" applyFont="1" applyFill="1" applyBorder="1"/>
    <xf numFmtId="167" fontId="20" fillId="0" borderId="14" xfId="7" applyNumberFormat="1" applyFont="1" applyFill="1" applyBorder="1" applyAlignment="1">
      <alignment horizontal="right"/>
    </xf>
    <xf numFmtId="37" fontId="20" fillId="0" borderId="15" xfId="1" applyNumberFormat="1" applyFont="1" applyFill="1" applyBorder="1"/>
    <xf numFmtId="168" fontId="20" fillId="0" borderId="14" xfId="0" applyNumberFormat="1" applyFont="1" applyBorder="1"/>
    <xf numFmtId="37" fontId="20" fillId="0" borderId="10" xfId="1" applyNumberFormat="1" applyFont="1" applyFill="1" applyBorder="1"/>
    <xf numFmtId="168" fontId="20" fillId="0" borderId="10" xfId="0" applyNumberFormat="1" applyFont="1" applyBorder="1"/>
    <xf numFmtId="168" fontId="20" fillId="0" borderId="9" xfId="0" applyNumberFormat="1" applyFont="1" applyBorder="1"/>
    <xf numFmtId="37" fontId="20" fillId="0" borderId="12" xfId="1" applyNumberFormat="1" applyFont="1" applyFill="1" applyBorder="1"/>
    <xf numFmtId="37" fontId="20" fillId="0" borderId="9" xfId="0" applyNumberFormat="1" applyFont="1" applyBorder="1"/>
    <xf numFmtId="37" fontId="20" fillId="0" borderId="0" xfId="0" applyNumberFormat="1" applyFont="1"/>
    <xf numFmtId="167" fontId="20" fillId="0" borderId="17" xfId="7" applyNumberFormat="1" applyFont="1" applyFill="1" applyBorder="1" applyAlignment="1">
      <alignment horizontal="right"/>
    </xf>
    <xf numFmtId="169" fontId="20" fillId="0" borderId="0" xfId="0" applyNumberFormat="1" applyFont="1" applyBorder="1"/>
    <xf numFmtId="167" fontId="20" fillId="0" borderId="0" xfId="0" applyNumberFormat="1" applyFont="1" applyBorder="1"/>
    <xf numFmtId="167" fontId="22" fillId="0" borderId="0" xfId="0" applyNumberFormat="1" applyFont="1" applyBorder="1"/>
    <xf numFmtId="183" fontId="20" fillId="0" borderId="7" xfId="0" applyFont="1" applyBorder="1"/>
    <xf numFmtId="183" fontId="20" fillId="0" borderId="3" xfId="0" applyFont="1" applyBorder="1"/>
    <xf numFmtId="183" fontId="20" fillId="0" borderId="2" xfId="0" applyFont="1" applyBorder="1"/>
    <xf numFmtId="183" fontId="20" fillId="0" borderId="0" xfId="0" applyFont="1" applyFill="1" applyBorder="1" applyAlignment="1">
      <alignment horizontal="center"/>
    </xf>
    <xf numFmtId="37" fontId="20" fillId="0" borderId="8" xfId="0" applyNumberFormat="1" applyFont="1" applyBorder="1"/>
    <xf numFmtId="37" fontId="20" fillId="0" borderId="9" xfId="1" applyNumberFormat="1" applyFont="1" applyFill="1" applyBorder="1" applyAlignment="1">
      <alignment horizontal="right"/>
    </xf>
    <xf numFmtId="37" fontId="20" fillId="0" borderId="15" xfId="1" applyNumberFormat="1" applyFont="1" applyFill="1" applyBorder="1" applyAlignment="1">
      <alignment horizontal="right"/>
    </xf>
    <xf numFmtId="183" fontId="20" fillId="0" borderId="9" xfId="0" applyFont="1" applyBorder="1" applyAlignment="1">
      <alignment horizontal="right"/>
    </xf>
    <xf numFmtId="168" fontId="20" fillId="0" borderId="9" xfId="0" applyNumberFormat="1" applyFont="1" applyBorder="1" applyAlignment="1">
      <alignment horizontal="right"/>
    </xf>
    <xf numFmtId="37" fontId="20" fillId="0" borderId="8" xfId="1" applyNumberFormat="1" applyFont="1" applyFill="1" applyBorder="1"/>
    <xf numFmtId="37" fontId="20" fillId="0" borderId="8" xfId="1" applyNumberFormat="1" applyFont="1" applyFill="1" applyBorder="1" applyAlignment="1">
      <alignment horizontal="right"/>
    </xf>
    <xf numFmtId="176" fontId="20" fillId="0" borderId="0" xfId="0" applyNumberFormat="1" applyFont="1"/>
    <xf numFmtId="37" fontId="20" fillId="0" borderId="18" xfId="1" applyNumberFormat="1" applyFont="1" applyFill="1" applyBorder="1" applyAlignment="1">
      <alignment horizontal="right"/>
    </xf>
    <xf numFmtId="183" fontId="29" fillId="0" borderId="0" xfId="0" applyFont="1" applyBorder="1"/>
    <xf numFmtId="37" fontId="20" fillId="0" borderId="5" xfId="1" applyNumberFormat="1" applyFont="1" applyFill="1" applyBorder="1"/>
    <xf numFmtId="37" fontId="20" fillId="0" borderId="0" xfId="1" applyNumberFormat="1" applyFont="1" applyFill="1" applyBorder="1"/>
    <xf numFmtId="168" fontId="20" fillId="0" borderId="0" xfId="0" applyNumberFormat="1" applyFont="1" applyBorder="1"/>
    <xf numFmtId="168" fontId="20" fillId="0" borderId="0" xfId="0" applyNumberFormat="1" applyFont="1" applyBorder="1" applyAlignment="1">
      <alignment horizontal="right"/>
    </xf>
    <xf numFmtId="168" fontId="20" fillId="0" borderId="10" xfId="0" applyNumberFormat="1" applyFont="1" applyBorder="1" applyAlignment="1">
      <alignment horizontal="right"/>
    </xf>
    <xf numFmtId="37" fontId="20" fillId="0" borderId="11" xfId="1" applyNumberFormat="1" applyFont="1" applyFill="1" applyBorder="1"/>
    <xf numFmtId="168" fontId="20" fillId="0" borderId="11" xfId="0" applyNumberFormat="1" applyFont="1" applyBorder="1" applyAlignment="1">
      <alignment horizontal="right"/>
    </xf>
    <xf numFmtId="37" fontId="20" fillId="0" borderId="6" xfId="1" applyNumberFormat="1" applyFont="1" applyFill="1" applyBorder="1"/>
    <xf numFmtId="37" fontId="20" fillId="0" borderId="1" xfId="1" applyNumberFormat="1" applyFont="1" applyFill="1" applyBorder="1"/>
    <xf numFmtId="37" fontId="20" fillId="0" borderId="13" xfId="1" applyNumberFormat="1" applyFont="1" applyFill="1" applyBorder="1"/>
    <xf numFmtId="37" fontId="20" fillId="0" borderId="14" xfId="1" applyNumberFormat="1" applyFont="1" applyFill="1" applyBorder="1"/>
    <xf numFmtId="37" fontId="20" fillId="0" borderId="19" xfId="1" applyNumberFormat="1" applyFont="1" applyFill="1" applyBorder="1"/>
    <xf numFmtId="37" fontId="20" fillId="0" borderId="17" xfId="1" applyNumberFormat="1" applyFont="1" applyFill="1" applyBorder="1"/>
    <xf numFmtId="37" fontId="20" fillId="0" borderId="2" xfId="1" applyNumberFormat="1" applyFont="1" applyFill="1" applyBorder="1"/>
    <xf numFmtId="37" fontId="20" fillId="0" borderId="4" xfId="1" applyNumberFormat="1" applyFont="1" applyFill="1" applyBorder="1"/>
    <xf numFmtId="37" fontId="20" fillId="0" borderId="7" xfId="1" applyNumberFormat="1" applyFont="1" applyFill="1" applyBorder="1"/>
    <xf numFmtId="176" fontId="20" fillId="0" borderId="0" xfId="7" applyNumberFormat="1" applyFont="1" applyFill="1"/>
    <xf numFmtId="37" fontId="20" fillId="0" borderId="5" xfId="0" applyNumberFormat="1" applyFont="1" applyBorder="1"/>
    <xf numFmtId="37" fontId="20" fillId="0" borderId="2" xfId="0" applyNumberFormat="1" applyFont="1" applyBorder="1"/>
    <xf numFmtId="37" fontId="20" fillId="0" borderId="10" xfId="0" applyNumberFormat="1" applyFont="1" applyBorder="1"/>
    <xf numFmtId="183" fontId="26" fillId="0" borderId="10" xfId="0" applyFont="1" applyFill="1" applyBorder="1" applyAlignment="1">
      <alignment horizontal="center"/>
    </xf>
    <xf numFmtId="183" fontId="26" fillId="0" borderId="11" xfId="0" applyFont="1" applyFill="1" applyBorder="1" applyAlignment="1">
      <alignment horizontal="center"/>
    </xf>
    <xf numFmtId="37" fontId="20" fillId="0" borderId="0" xfId="1" applyNumberFormat="1" applyFont="1" applyFill="1" applyBorder="1" applyAlignment="1">
      <alignment horizontal="right"/>
    </xf>
    <xf numFmtId="37" fontId="20" fillId="0" borderId="3" xfId="1" applyNumberFormat="1" applyFont="1" applyFill="1" applyBorder="1" applyAlignment="1">
      <alignment horizontal="right"/>
    </xf>
    <xf numFmtId="37" fontId="20" fillId="0" borderId="4" xfId="1" applyNumberFormat="1" applyFont="1" applyFill="1" applyBorder="1" applyAlignment="1">
      <alignment horizontal="right"/>
    </xf>
    <xf numFmtId="37" fontId="20" fillId="0" borderId="10" xfId="1" applyNumberFormat="1" applyFont="1" applyFill="1" applyBorder="1" applyAlignment="1">
      <alignment horizontal="right"/>
    </xf>
    <xf numFmtId="37" fontId="20" fillId="0" borderId="11" xfId="1" applyNumberFormat="1" applyFont="1" applyFill="1" applyBorder="1" applyAlignment="1">
      <alignment horizontal="right"/>
    </xf>
    <xf numFmtId="37" fontId="20" fillId="0" borderId="5" xfId="1" applyNumberFormat="1" applyFont="1" applyFill="1" applyBorder="1" applyAlignment="1">
      <alignment horizontal="right"/>
    </xf>
    <xf numFmtId="37" fontId="20" fillId="0" borderId="6" xfId="1" applyNumberFormat="1" applyFont="1" applyFill="1" applyBorder="1" applyAlignment="1">
      <alignment horizontal="right"/>
    </xf>
    <xf numFmtId="37" fontId="20" fillId="0" borderId="1" xfId="1" applyNumberFormat="1" applyFont="1" applyFill="1" applyBorder="1" applyAlignment="1">
      <alignment horizontal="right"/>
    </xf>
    <xf numFmtId="168" fontId="20" fillId="0" borderId="10" xfId="1" applyNumberFormat="1" applyFont="1" applyFill="1" applyBorder="1" applyAlignment="1">
      <alignment horizontal="right"/>
    </xf>
    <xf numFmtId="183" fontId="20" fillId="0" borderId="0" xfId="0" applyFont="1" applyBorder="1" applyAlignment="1">
      <alignment horizontal="right"/>
    </xf>
    <xf numFmtId="183" fontId="20" fillId="0" borderId="10" xfId="0" applyFont="1" applyBorder="1" applyAlignment="1">
      <alignment horizontal="right"/>
    </xf>
    <xf numFmtId="183" fontId="20" fillId="0" borderId="0" xfId="0" applyFont="1" applyAlignment="1">
      <alignment horizontal="right"/>
    </xf>
    <xf numFmtId="168" fontId="20" fillId="0" borderId="12" xfId="1" applyNumberFormat="1" applyFont="1" applyFill="1" applyBorder="1" applyAlignment="1">
      <alignment horizontal="right"/>
    </xf>
    <xf numFmtId="37" fontId="20" fillId="0" borderId="12" xfId="1" applyNumberFormat="1" applyFont="1" applyFill="1" applyBorder="1" applyAlignment="1">
      <alignment horizontal="right"/>
    </xf>
    <xf numFmtId="37" fontId="20" fillId="0" borderId="13" xfId="1" applyNumberFormat="1" applyFont="1" applyFill="1" applyBorder="1" applyAlignment="1">
      <alignment horizontal="right"/>
    </xf>
    <xf numFmtId="37" fontId="20" fillId="0" borderId="14" xfId="1" applyNumberFormat="1" applyFont="1" applyFill="1" applyBorder="1" applyAlignment="1">
      <alignment horizontal="right"/>
    </xf>
    <xf numFmtId="168" fontId="20" fillId="0" borderId="5" xfId="1" applyNumberFormat="1" applyFont="1" applyFill="1" applyBorder="1" applyAlignment="1">
      <alignment horizontal="right"/>
    </xf>
    <xf numFmtId="37" fontId="20" fillId="0" borderId="16" xfId="1" applyNumberFormat="1" applyFont="1" applyFill="1" applyBorder="1" applyAlignment="1">
      <alignment horizontal="right"/>
    </xf>
    <xf numFmtId="37" fontId="20" fillId="0" borderId="19" xfId="1" applyNumberFormat="1" applyFont="1" applyFill="1" applyBorder="1" applyAlignment="1">
      <alignment horizontal="right"/>
    </xf>
    <xf numFmtId="37" fontId="20" fillId="0" borderId="17" xfId="1" applyNumberFormat="1" applyFont="1" applyFill="1" applyBorder="1" applyAlignment="1">
      <alignment horizontal="right"/>
    </xf>
    <xf numFmtId="168" fontId="20" fillId="0" borderId="0" xfId="1" applyNumberFormat="1" applyFont="1" applyFill="1" applyBorder="1" applyAlignment="1">
      <alignment horizontal="right"/>
    </xf>
    <xf numFmtId="183" fontId="20" fillId="0" borderId="0" xfId="0" applyFont="1" applyFill="1" applyBorder="1" applyAlignment="1">
      <alignment horizontal="right"/>
    </xf>
    <xf numFmtId="183" fontId="26" fillId="0" borderId="0" xfId="0" applyFont="1" applyFill="1" applyBorder="1" applyAlignment="1">
      <alignment horizontal="right"/>
    </xf>
    <xf numFmtId="37" fontId="20" fillId="0" borderId="7" xfId="1" applyNumberFormat="1" applyFont="1" applyFill="1" applyBorder="1" applyAlignment="1">
      <alignment horizontal="right"/>
    </xf>
    <xf numFmtId="183" fontId="26" fillId="0" borderId="9" xfId="0" applyFont="1" applyFill="1" applyBorder="1" applyAlignment="1">
      <alignment horizontal="center"/>
    </xf>
    <xf numFmtId="183" fontId="0" fillId="0" borderId="0" xfId="0" applyFill="1" applyAlignment="1">
      <alignment horizontal="left"/>
    </xf>
    <xf numFmtId="168" fontId="20" fillId="0" borderId="0" xfId="0" applyNumberFormat="1" applyFont="1" applyFill="1"/>
    <xf numFmtId="37" fontId="20" fillId="0" borderId="0" xfId="0" applyNumberFormat="1" applyFont="1" applyBorder="1" applyAlignment="1">
      <alignment horizontal="right"/>
    </xf>
    <xf numFmtId="183" fontId="36" fillId="0" borderId="20" xfId="0" applyFont="1" applyBorder="1"/>
    <xf numFmtId="168" fontId="20" fillId="0" borderId="9" xfId="1" applyNumberFormat="1" applyFont="1" applyFill="1" applyBorder="1" applyAlignment="1">
      <alignment horizontal="right"/>
    </xf>
    <xf numFmtId="37" fontId="20" fillId="0" borderId="8" xfId="0" applyNumberFormat="1" applyFont="1" applyBorder="1" applyAlignment="1">
      <alignment horizontal="right"/>
    </xf>
    <xf numFmtId="165" fontId="0" fillId="0" borderId="0" xfId="1" applyFont="1"/>
    <xf numFmtId="183" fontId="0" fillId="0" borderId="26" xfId="0" applyBorder="1"/>
    <xf numFmtId="183" fontId="0" fillId="0" borderId="27" xfId="0" applyBorder="1"/>
    <xf numFmtId="183" fontId="29" fillId="0" borderId="20" xfId="0" applyFont="1" applyBorder="1"/>
    <xf numFmtId="183" fontId="0" fillId="0" borderId="20" xfId="0" applyBorder="1"/>
    <xf numFmtId="183" fontId="0" fillId="0" borderId="21" xfId="0" applyBorder="1"/>
    <xf numFmtId="183" fontId="0" fillId="0" borderId="22" xfId="0" applyBorder="1"/>
    <xf numFmtId="186" fontId="0" fillId="0" borderId="0" xfId="0" applyNumberFormat="1" applyBorder="1"/>
    <xf numFmtId="4" fontId="0" fillId="0" borderId="13" xfId="0" applyNumberFormat="1" applyBorder="1"/>
    <xf numFmtId="184" fontId="0" fillId="0" borderId="0" xfId="0" applyNumberFormat="1" applyFill="1" applyBorder="1"/>
    <xf numFmtId="3" fontId="29" fillId="0" borderId="19" xfId="0" applyNumberFormat="1" applyFont="1" applyBorder="1"/>
    <xf numFmtId="183" fontId="29" fillId="0" borderId="28" xfId="0" applyFont="1" applyBorder="1"/>
    <xf numFmtId="183" fontId="45" fillId="0" borderId="20" xfId="0" applyFont="1" applyBorder="1"/>
    <xf numFmtId="183" fontId="29" fillId="0" borderId="21" xfId="0" applyFont="1" applyBorder="1"/>
    <xf numFmtId="186" fontId="0" fillId="0" borderId="21" xfId="0" applyNumberFormat="1" applyFill="1" applyBorder="1"/>
    <xf numFmtId="4" fontId="0" fillId="0" borderId="29" xfId="0" applyNumberFormat="1" applyBorder="1"/>
    <xf numFmtId="184" fontId="0" fillId="0" borderId="0" xfId="0" applyNumberFormat="1" applyBorder="1"/>
    <xf numFmtId="184" fontId="0" fillId="0" borderId="21" xfId="0" applyNumberFormat="1" applyBorder="1"/>
    <xf numFmtId="3" fontId="29" fillId="0" borderId="30" xfId="0" applyNumberFormat="1" applyFont="1" applyBorder="1"/>
    <xf numFmtId="3" fontId="29" fillId="0" borderId="0" xfId="0" applyNumberFormat="1" applyFont="1" applyBorder="1"/>
    <xf numFmtId="3" fontId="29" fillId="0" borderId="21" xfId="0" applyNumberFormat="1" applyFont="1" applyBorder="1"/>
    <xf numFmtId="3" fontId="29" fillId="0" borderId="24" xfId="0" applyNumberFormat="1" applyFont="1" applyBorder="1"/>
    <xf numFmtId="183" fontId="29" fillId="0" borderId="24" xfId="0" applyFont="1" applyBorder="1"/>
    <xf numFmtId="183" fontId="29" fillId="0" borderId="23" xfId="0" applyFont="1" applyBorder="1"/>
    <xf numFmtId="183" fontId="26" fillId="0" borderId="7" xfId="0" applyFont="1" applyBorder="1" applyAlignment="1">
      <alignment horizontal="center"/>
    </xf>
    <xf numFmtId="180" fontId="20" fillId="0" borderId="0" xfId="0" applyNumberFormat="1" applyFont="1" applyFill="1"/>
    <xf numFmtId="168" fontId="20" fillId="0" borderId="11" xfId="1" applyNumberFormat="1" applyFont="1" applyFill="1" applyBorder="1" applyAlignment="1">
      <alignment horizontal="right"/>
    </xf>
    <xf numFmtId="183" fontId="20" fillId="0" borderId="7" xfId="0" applyFont="1" applyFill="1" applyBorder="1"/>
    <xf numFmtId="168" fontId="20" fillId="0" borderId="15" xfId="1" applyNumberFormat="1" applyFont="1" applyFill="1" applyBorder="1"/>
    <xf numFmtId="168" fontId="20" fillId="0" borderId="18" xfId="1" applyNumberFormat="1" applyFont="1" applyFill="1" applyBorder="1"/>
    <xf numFmtId="169" fontId="20" fillId="0" borderId="0" xfId="0" applyNumberFormat="1" applyFont="1" applyFill="1"/>
    <xf numFmtId="167" fontId="20" fillId="0" borderId="0" xfId="7" applyNumberFormat="1" applyFont="1" applyFill="1"/>
    <xf numFmtId="170" fontId="20" fillId="0" borderId="0" xfId="7" applyNumberFormat="1" applyFont="1" applyFill="1"/>
    <xf numFmtId="168" fontId="20" fillId="0" borderId="7" xfId="1" applyNumberFormat="1" applyFont="1" applyFill="1" applyBorder="1"/>
    <xf numFmtId="166" fontId="20" fillId="0" borderId="7" xfId="0" applyNumberFormat="1" applyFont="1" applyFill="1" applyBorder="1"/>
    <xf numFmtId="166" fontId="20" fillId="0" borderId="9" xfId="0" applyNumberFormat="1" applyFont="1" applyFill="1" applyBorder="1"/>
    <xf numFmtId="166" fontId="20" fillId="0" borderId="15" xfId="0" applyNumberFormat="1" applyFont="1" applyFill="1" applyBorder="1"/>
    <xf numFmtId="166" fontId="20" fillId="0" borderId="18" xfId="0" applyNumberFormat="1" applyFont="1" applyFill="1" applyBorder="1"/>
    <xf numFmtId="167" fontId="20" fillId="0" borderId="0" xfId="7" applyNumberFormat="1" applyFont="1" applyFill="1" applyAlignment="1">
      <alignment horizontal="right"/>
    </xf>
    <xf numFmtId="168" fontId="20" fillId="0" borderId="7" xfId="0" applyNumberFormat="1" applyFont="1" applyFill="1" applyBorder="1"/>
    <xf numFmtId="168" fontId="20" fillId="0" borderId="18" xfId="1" applyNumberFormat="1" applyFont="1" applyFill="1" applyBorder="1" applyAlignment="1">
      <alignment horizontal="right"/>
    </xf>
    <xf numFmtId="167" fontId="20" fillId="0" borderId="0" xfId="7" applyNumberFormat="1" applyFont="1"/>
    <xf numFmtId="37" fontId="0" fillId="0" borderId="0" xfId="0" applyNumberFormat="1"/>
    <xf numFmtId="37" fontId="20" fillId="0" borderId="10" xfId="0" applyNumberFormat="1" applyFont="1" applyBorder="1" applyAlignment="1">
      <alignment horizontal="right"/>
    </xf>
    <xf numFmtId="37" fontId="20" fillId="0" borderId="0" xfId="0" applyNumberFormat="1" applyFont="1" applyBorder="1"/>
    <xf numFmtId="168" fontId="20" fillId="0" borderId="13" xfId="1" applyNumberFormat="1" applyFont="1" applyFill="1" applyBorder="1" applyAlignment="1">
      <alignment horizontal="right"/>
    </xf>
    <xf numFmtId="37" fontId="20" fillId="0" borderId="12" xfId="0" applyNumberFormat="1" applyFont="1" applyBorder="1"/>
    <xf numFmtId="37" fontId="20" fillId="0" borderId="13" xfId="0" applyNumberFormat="1" applyFont="1" applyBorder="1"/>
    <xf numFmtId="168" fontId="20" fillId="0" borderId="19" xfId="1" applyNumberFormat="1" applyFont="1" applyFill="1" applyBorder="1" applyAlignment="1">
      <alignment horizontal="right"/>
    </xf>
    <xf numFmtId="168" fontId="20" fillId="0" borderId="6" xfId="1" applyNumberFormat="1" applyFont="1" applyFill="1" applyBorder="1" applyAlignment="1">
      <alignment horizontal="right"/>
    </xf>
    <xf numFmtId="37" fontId="20" fillId="0" borderId="12" xfId="0" applyNumberFormat="1" applyFont="1" applyBorder="1" applyAlignment="1">
      <alignment horizontal="right"/>
    </xf>
    <xf numFmtId="37" fontId="20" fillId="0" borderId="16" xfId="0" applyNumberFormat="1" applyFont="1" applyBorder="1" applyAlignment="1">
      <alignment horizontal="right"/>
    </xf>
    <xf numFmtId="37" fontId="20" fillId="0" borderId="6" xfId="0" applyNumberFormat="1" applyFont="1" applyBorder="1"/>
    <xf numFmtId="168" fontId="20" fillId="0" borderId="13" xfId="1" applyNumberFormat="1" applyFont="1" applyFill="1" applyBorder="1"/>
    <xf numFmtId="37" fontId="20" fillId="0" borderId="3" xfId="0" applyNumberFormat="1" applyFont="1" applyBorder="1"/>
    <xf numFmtId="168" fontId="20" fillId="0" borderId="3" xfId="0" applyNumberFormat="1" applyFont="1" applyFill="1" applyBorder="1"/>
    <xf numFmtId="167" fontId="20" fillId="0" borderId="4" xfId="0" applyNumberFormat="1" applyFont="1" applyFill="1" applyBorder="1"/>
    <xf numFmtId="168" fontId="20" fillId="0" borderId="6" xfId="0" applyNumberFormat="1" applyFont="1" applyFill="1" applyBorder="1"/>
    <xf numFmtId="37" fontId="20" fillId="0" borderId="3" xfId="1" applyNumberFormat="1" applyFont="1" applyFill="1" applyBorder="1"/>
    <xf numFmtId="168" fontId="20" fillId="0" borderId="6" xfId="0" applyNumberFormat="1" applyFont="1" applyBorder="1"/>
    <xf numFmtId="183" fontId="26" fillId="0" borderId="0" xfId="0" applyFont="1" applyBorder="1"/>
    <xf numFmtId="37" fontId="20" fillId="0" borderId="11" xfId="0" applyNumberFormat="1" applyFont="1" applyBorder="1"/>
    <xf numFmtId="37" fontId="20" fillId="0" borderId="1" xfId="0" applyNumberFormat="1" applyFont="1" applyBorder="1"/>
    <xf numFmtId="37" fontId="20" fillId="0" borderId="1" xfId="0" applyNumberFormat="1" applyFont="1" applyFill="1" applyBorder="1"/>
    <xf numFmtId="37" fontId="20" fillId="0" borderId="8" xfId="0" applyNumberFormat="1" applyFont="1" applyFill="1" applyBorder="1"/>
    <xf numFmtId="183" fontId="29" fillId="0" borderId="0" xfId="0" applyFont="1" applyFill="1" applyBorder="1"/>
    <xf numFmtId="182" fontId="15" fillId="0" borderId="0" xfId="1" applyNumberFormat="1" applyAlignment="1">
      <alignment horizontal="center"/>
    </xf>
    <xf numFmtId="184" fontId="0" fillId="0" borderId="0" xfId="0" applyNumberFormat="1"/>
    <xf numFmtId="170" fontId="20" fillId="0" borderId="0" xfId="7" applyNumberFormat="1" applyFont="1" applyFill="1" applyBorder="1" applyAlignment="1">
      <alignment horizontal="right"/>
    </xf>
    <xf numFmtId="37" fontId="0" fillId="0" borderId="0" xfId="0" applyNumberFormat="1" applyBorder="1"/>
    <xf numFmtId="183" fontId="31" fillId="0" borderId="0" xfId="0" applyFont="1" applyAlignment="1">
      <alignment horizontal="center"/>
    </xf>
    <xf numFmtId="168" fontId="20" fillId="0" borderId="2" xfId="0" applyNumberFormat="1" applyFont="1" applyFill="1" applyBorder="1"/>
    <xf numFmtId="37" fontId="20" fillId="0" borderId="0" xfId="7" applyNumberFormat="1" applyFont="1" applyFill="1" applyBorder="1" applyAlignment="1">
      <alignment horizontal="right"/>
    </xf>
    <xf numFmtId="37" fontId="20" fillId="0" borderId="0" xfId="0" applyNumberFormat="1" applyFont="1" applyFill="1" applyBorder="1"/>
    <xf numFmtId="183" fontId="20" fillId="0" borderId="6" xfId="0" applyFont="1" applyBorder="1"/>
    <xf numFmtId="168" fontId="20" fillId="0" borderId="1" xfId="0" applyNumberFormat="1" applyFont="1" applyBorder="1"/>
    <xf numFmtId="168" fontId="20" fillId="0" borderId="5" xfId="1" applyNumberFormat="1" applyFont="1" applyFill="1" applyBorder="1"/>
    <xf numFmtId="168" fontId="20" fillId="0" borderId="16" xfId="1" applyNumberFormat="1" applyFont="1" applyFill="1" applyBorder="1"/>
    <xf numFmtId="37" fontId="20" fillId="0" borderId="13" xfId="7" applyNumberFormat="1" applyFont="1" applyFill="1" applyBorder="1" applyAlignment="1">
      <alignment horizontal="right"/>
    </xf>
    <xf numFmtId="37" fontId="20" fillId="0" borderId="6" xfId="0" applyNumberFormat="1" applyFont="1" applyFill="1" applyBorder="1"/>
    <xf numFmtId="37" fontId="20" fillId="0" borderId="6" xfId="7" applyNumberFormat="1" applyFont="1" applyFill="1" applyBorder="1" applyAlignment="1">
      <alignment horizontal="right"/>
    </xf>
    <xf numFmtId="37" fontId="20" fillId="0" borderId="3" xfId="7" applyNumberFormat="1" applyFont="1" applyFill="1" applyBorder="1" applyAlignment="1">
      <alignment horizontal="right"/>
    </xf>
    <xf numFmtId="183" fontId="0" fillId="0" borderId="3" xfId="0" applyFill="1" applyBorder="1"/>
    <xf numFmtId="37" fontId="20" fillId="0" borderId="25" xfId="1" applyNumberFormat="1" applyFont="1" applyFill="1" applyBorder="1" applyAlignment="1">
      <alignment horizontal="right"/>
    </xf>
    <xf numFmtId="183" fontId="20" fillId="0" borderId="11" xfId="0" applyFont="1" applyFill="1" applyBorder="1"/>
    <xf numFmtId="37" fontId="20" fillId="0" borderId="31" xfId="1" applyNumberFormat="1" applyFont="1" applyFill="1" applyBorder="1" applyAlignment="1">
      <alignment horizontal="right"/>
    </xf>
    <xf numFmtId="37" fontId="20" fillId="0" borderId="5" xfId="0" applyNumberFormat="1" applyFont="1" applyFill="1" applyBorder="1"/>
    <xf numFmtId="168" fontId="20" fillId="0" borderId="5" xfId="0" applyNumberFormat="1" applyFont="1" applyBorder="1" applyAlignment="1">
      <alignment horizontal="right"/>
    </xf>
    <xf numFmtId="168" fontId="20" fillId="0" borderId="8" xfId="1" applyNumberFormat="1" applyFont="1" applyFill="1" applyBorder="1" applyAlignment="1">
      <alignment horizontal="right"/>
    </xf>
    <xf numFmtId="181" fontId="20" fillId="0" borderId="0" xfId="1" applyNumberFormat="1" applyFont="1" applyFill="1" applyBorder="1"/>
    <xf numFmtId="183" fontId="0" fillId="0" borderId="6" xfId="0" applyFill="1" applyBorder="1"/>
    <xf numFmtId="37" fontId="20" fillId="0" borderId="3" xfId="0" applyNumberFormat="1" applyFont="1" applyFill="1" applyBorder="1"/>
    <xf numFmtId="186" fontId="0" fillId="0" borderId="21" xfId="0" applyNumberFormat="1" applyBorder="1"/>
    <xf numFmtId="37" fontId="20" fillId="0" borderId="7" xfId="0" applyNumberFormat="1" applyFont="1" applyBorder="1"/>
    <xf numFmtId="183" fontId="29" fillId="2" borderId="28" xfId="0" applyFont="1" applyFill="1" applyBorder="1"/>
    <xf numFmtId="183" fontId="0" fillId="2" borderId="26" xfId="0" applyFill="1" applyBorder="1"/>
    <xf numFmtId="183" fontId="0" fillId="2" borderId="27" xfId="0" applyFill="1" applyBorder="1"/>
    <xf numFmtId="183" fontId="45" fillId="2" borderId="20" xfId="0" applyFont="1" applyFill="1" applyBorder="1"/>
    <xf numFmtId="183" fontId="0" fillId="2" borderId="0" xfId="0" applyFill="1" applyBorder="1"/>
    <xf numFmtId="183" fontId="0" fillId="2" borderId="21" xfId="0" applyFill="1" applyBorder="1"/>
    <xf numFmtId="183" fontId="29" fillId="2" borderId="0" xfId="0" applyFont="1" applyFill="1" applyBorder="1"/>
    <xf numFmtId="183" fontId="0" fillId="2" borderId="20" xfId="0" applyFill="1" applyBorder="1"/>
    <xf numFmtId="183" fontId="29" fillId="2" borderId="21" xfId="0" applyFont="1" applyFill="1" applyBorder="1"/>
    <xf numFmtId="182" fontId="15" fillId="2" borderId="0" xfId="1" applyNumberFormat="1" applyFill="1" applyAlignment="1">
      <alignment horizontal="center"/>
    </xf>
    <xf numFmtId="184" fontId="0" fillId="2" borderId="0" xfId="0" applyNumberFormat="1" applyFill="1"/>
    <xf numFmtId="183" fontId="36" fillId="2" borderId="20" xfId="0" applyFont="1" applyFill="1" applyBorder="1"/>
    <xf numFmtId="186" fontId="0" fillId="2" borderId="0" xfId="0" applyNumberFormat="1" applyFill="1" applyBorder="1"/>
    <xf numFmtId="186" fontId="0" fillId="2" borderId="21" xfId="0" applyNumberFormat="1" applyFill="1" applyBorder="1"/>
    <xf numFmtId="4" fontId="0" fillId="2" borderId="13" xfId="0" applyNumberFormat="1" applyFill="1" applyBorder="1"/>
    <xf numFmtId="4" fontId="0" fillId="2" borderId="29" xfId="0" applyNumberFormat="1" applyFill="1" applyBorder="1"/>
    <xf numFmtId="184" fontId="0" fillId="2" borderId="0" xfId="0" applyNumberFormat="1" applyFill="1" applyBorder="1"/>
    <xf numFmtId="184" fontId="0" fillId="2" borderId="21" xfId="0" applyNumberFormat="1" applyFill="1" applyBorder="1"/>
    <xf numFmtId="183" fontId="29" fillId="2" borderId="20" xfId="0" applyFont="1" applyFill="1" applyBorder="1"/>
    <xf numFmtId="3" fontId="29" fillId="2" borderId="19" xfId="0" applyNumberFormat="1" applyFont="1" applyFill="1" applyBorder="1"/>
    <xf numFmtId="3" fontId="29" fillId="2" borderId="30" xfId="0" applyNumberFormat="1" applyFont="1" applyFill="1" applyBorder="1"/>
    <xf numFmtId="3" fontId="29" fillId="2" borderId="0" xfId="0" applyNumberFormat="1" applyFont="1" applyFill="1" applyBorder="1"/>
    <xf numFmtId="3" fontId="29" fillId="2" borderId="21" xfId="0" applyNumberFormat="1" applyFont="1" applyFill="1" applyBorder="1"/>
    <xf numFmtId="183" fontId="0" fillId="2" borderId="22" xfId="0" applyFill="1" applyBorder="1"/>
    <xf numFmtId="3" fontId="29" fillId="2" borderId="24" xfId="0" applyNumberFormat="1" applyFont="1" applyFill="1" applyBorder="1"/>
    <xf numFmtId="183" fontId="29" fillId="2" borderId="24" xfId="0" applyFont="1" applyFill="1" applyBorder="1"/>
    <xf numFmtId="183" fontId="29" fillId="2" borderId="23" xfId="0" applyFont="1" applyFill="1" applyBorder="1"/>
    <xf numFmtId="168" fontId="20" fillId="0" borderId="2" xfId="1" applyNumberFormat="1" applyFont="1" applyFill="1" applyBorder="1"/>
    <xf numFmtId="167" fontId="20" fillId="0" borderId="4" xfId="7" applyNumberFormat="1" applyFont="1" applyFill="1" applyBorder="1" applyAlignment="1">
      <alignment horizontal="right"/>
    </xf>
    <xf numFmtId="167" fontId="20" fillId="0" borderId="13" xfId="7" applyNumberFormat="1" applyFont="1" applyFill="1" applyBorder="1" applyAlignment="1">
      <alignment horizontal="right"/>
    </xf>
    <xf numFmtId="37" fontId="20" fillId="0" borderId="0" xfId="1" applyNumberFormat="1" applyFont="1" applyFill="1" applyBorder="1" applyAlignment="1">
      <alignment horizontal="center"/>
    </xf>
    <xf numFmtId="37" fontId="20" fillId="0" borderId="11" xfId="1" applyNumberFormat="1" applyFont="1" applyFill="1" applyBorder="1" applyAlignment="1">
      <alignment horizontal="center"/>
    </xf>
    <xf numFmtId="37" fontId="20" fillId="0" borderId="19" xfId="1" applyNumberFormat="1" applyFont="1" applyFill="1" applyBorder="1" applyAlignment="1">
      <alignment horizontal="center"/>
    </xf>
    <xf numFmtId="37" fontId="20" fillId="0" borderId="17" xfId="1" applyNumberFormat="1" applyFont="1" applyFill="1" applyBorder="1" applyAlignment="1">
      <alignment horizontal="center"/>
    </xf>
    <xf numFmtId="37" fontId="20" fillId="0" borderId="2" xfId="1" applyNumberFormat="1" applyFont="1" applyFill="1" applyBorder="1" applyAlignment="1">
      <alignment horizontal="right"/>
    </xf>
    <xf numFmtId="168" fontId="20" fillId="0" borderId="19" xfId="1" applyNumberFormat="1" applyFont="1" applyFill="1" applyBorder="1"/>
    <xf numFmtId="183" fontId="20" fillId="0" borderId="9" xfId="0" applyFont="1" applyBorder="1" applyAlignment="1">
      <alignment horizontal="center"/>
    </xf>
    <xf numFmtId="167" fontId="20" fillId="0" borderId="1" xfId="0" applyNumberFormat="1" applyFont="1" applyFill="1" applyBorder="1" applyAlignment="1">
      <alignment horizontal="right"/>
    </xf>
    <xf numFmtId="167" fontId="20" fillId="0" borderId="11" xfId="0" applyNumberFormat="1" applyFont="1" applyBorder="1" applyAlignment="1">
      <alignment horizontal="right"/>
    </xf>
    <xf numFmtId="167" fontId="20" fillId="0" borderId="11" xfId="0" applyNumberFormat="1" applyFont="1" applyFill="1" applyBorder="1" applyAlignment="1">
      <alignment horizontal="right"/>
    </xf>
    <xf numFmtId="2" fontId="0" fillId="0" borderId="0" xfId="0" applyNumberFormat="1" applyBorder="1"/>
    <xf numFmtId="165" fontId="20" fillId="0" borderId="10" xfId="1" applyFont="1" applyBorder="1" applyAlignment="1">
      <alignment horizontal="right"/>
    </xf>
    <xf numFmtId="167" fontId="20" fillId="0" borderId="3" xfId="7" applyNumberFormat="1" applyFont="1" applyFill="1" applyBorder="1" applyAlignment="1">
      <alignment horizontal="right"/>
    </xf>
    <xf numFmtId="183" fontId="29" fillId="0" borderId="0" xfId="0" applyFont="1" applyBorder="1" applyAlignment="1">
      <alignment horizontal="right"/>
    </xf>
    <xf numFmtId="183" fontId="20" fillId="0" borderId="11" xfId="0" applyFont="1" applyBorder="1" applyAlignment="1">
      <alignment horizontal="right"/>
    </xf>
    <xf numFmtId="168" fontId="20" fillId="0" borderId="9" xfId="1" applyNumberFormat="1" applyFont="1" applyFill="1" applyBorder="1" applyAlignment="1">
      <alignment horizontal="center"/>
    </xf>
    <xf numFmtId="37" fontId="20" fillId="0" borderId="18" xfId="1" applyNumberFormat="1" applyFont="1" applyFill="1" applyBorder="1" applyAlignment="1">
      <alignment horizontal="center"/>
    </xf>
    <xf numFmtId="168" fontId="20" fillId="0" borderId="18" xfId="1" applyNumberFormat="1" applyFont="1" applyFill="1" applyBorder="1" applyAlignment="1">
      <alignment horizontal="center"/>
    </xf>
    <xf numFmtId="37" fontId="20" fillId="0" borderId="13" xfId="1" applyNumberFormat="1" applyFont="1" applyFill="1" applyBorder="1" applyAlignment="1">
      <alignment horizontal="center"/>
    </xf>
    <xf numFmtId="37" fontId="20" fillId="0" borderId="14" xfId="1" applyNumberFormat="1" applyFont="1" applyFill="1" applyBorder="1" applyAlignment="1">
      <alignment horizontal="center"/>
    </xf>
    <xf numFmtId="37" fontId="20" fillId="0" borderId="15" xfId="1" applyNumberFormat="1" applyFont="1" applyFill="1" applyBorder="1" applyAlignment="1">
      <alignment horizontal="center"/>
    </xf>
    <xf numFmtId="168" fontId="20" fillId="0" borderId="15" xfId="1" applyNumberFormat="1" applyFont="1" applyFill="1" applyBorder="1" applyAlignment="1">
      <alignment horizontal="center"/>
    </xf>
    <xf numFmtId="167" fontId="20" fillId="0" borderId="0" xfId="7" applyNumberFormat="1" applyFont="1" applyFill="1" applyBorder="1" applyAlignment="1">
      <alignment horizontal="center"/>
    </xf>
    <xf numFmtId="168" fontId="20" fillId="0" borderId="12" xfId="0" applyNumberFormat="1" applyFont="1" applyFill="1" applyBorder="1"/>
    <xf numFmtId="167" fontId="20" fillId="0" borderId="14" xfId="0" applyNumberFormat="1" applyFont="1" applyFill="1" applyBorder="1"/>
    <xf numFmtId="37" fontId="20" fillId="0" borderId="15" xfId="0" applyNumberFormat="1" applyFont="1" applyBorder="1"/>
    <xf numFmtId="37" fontId="20" fillId="0" borderId="14" xfId="0" applyNumberFormat="1" applyFont="1" applyBorder="1"/>
    <xf numFmtId="167" fontId="20" fillId="0" borderId="0" xfId="0" applyNumberFormat="1" applyFont="1" applyFill="1" applyBorder="1" applyAlignment="1">
      <alignment horizontal="right"/>
    </xf>
    <xf numFmtId="181" fontId="20" fillId="0" borderId="13" xfId="1" applyNumberFormat="1" applyFont="1" applyBorder="1"/>
    <xf numFmtId="181" fontId="20" fillId="0" borderId="15" xfId="1" applyNumberFormat="1" applyFont="1" applyBorder="1"/>
    <xf numFmtId="168" fontId="0" fillId="0" borderId="0" xfId="0" applyNumberFormat="1" applyBorder="1"/>
    <xf numFmtId="181" fontId="20" fillId="0" borderId="10" xfId="1" applyNumberFormat="1" applyFont="1" applyFill="1" applyBorder="1" applyAlignment="1">
      <alignment horizontal="right"/>
    </xf>
    <xf numFmtId="181" fontId="0" fillId="0" borderId="0" xfId="1" applyNumberFormat="1" applyFont="1"/>
    <xf numFmtId="167" fontId="20" fillId="0" borderId="11" xfId="7" quotePrefix="1" applyNumberFormat="1" applyFont="1" applyFill="1" applyBorder="1" applyAlignment="1">
      <alignment horizontal="right"/>
    </xf>
    <xf numFmtId="168" fontId="20" fillId="0" borderId="11" xfId="0" quotePrefix="1" applyNumberFormat="1" applyFont="1" applyBorder="1" applyAlignment="1">
      <alignment horizontal="right"/>
    </xf>
    <xf numFmtId="167" fontId="20" fillId="0" borderId="9" xfId="7" applyNumberFormat="1" applyFont="1" applyFill="1" applyBorder="1" applyAlignment="1">
      <alignment horizontal="right"/>
    </xf>
    <xf numFmtId="188" fontId="15" fillId="0" borderId="0" xfId="1" applyNumberFormat="1" applyAlignment="1">
      <alignment horizontal="center"/>
    </xf>
    <xf numFmtId="170" fontId="0" fillId="0" borderId="0" xfId="7" applyNumberFormat="1" applyFont="1" applyBorder="1"/>
    <xf numFmtId="167" fontId="20" fillId="0" borderId="11" xfId="7" applyNumberFormat="1" applyFont="1" applyFill="1" applyBorder="1" applyAlignment="1"/>
    <xf numFmtId="181" fontId="0" fillId="0" borderId="0" xfId="0" applyNumberFormat="1"/>
    <xf numFmtId="183" fontId="27" fillId="0" borderId="9" xfId="0" applyFont="1" applyFill="1" applyBorder="1" applyAlignment="1">
      <alignment horizontal="center"/>
    </xf>
    <xf numFmtId="167" fontId="20" fillId="0" borderId="9" xfId="0" applyNumberFormat="1" applyFont="1" applyFill="1" applyBorder="1"/>
    <xf numFmtId="183" fontId="20" fillId="0" borderId="9" xfId="0" applyFont="1" applyFill="1" applyBorder="1" applyAlignment="1"/>
    <xf numFmtId="181" fontId="20" fillId="0" borderId="3" xfId="1" applyNumberFormat="1" applyFont="1" applyBorder="1"/>
    <xf numFmtId="181" fontId="20" fillId="0" borderId="0" xfId="1" applyNumberFormat="1" applyFont="1" applyBorder="1"/>
    <xf numFmtId="181" fontId="20" fillId="0" borderId="6" xfId="1" applyNumberFormat="1" applyFont="1" applyBorder="1"/>
    <xf numFmtId="37" fontId="20" fillId="0" borderId="4" xfId="0" applyNumberFormat="1" applyFont="1" applyFill="1" applyBorder="1"/>
    <xf numFmtId="167" fontId="20" fillId="0" borderId="0" xfId="7" applyNumberFormat="1" applyFont="1" applyFill="1" applyBorder="1" applyAlignment="1"/>
    <xf numFmtId="165" fontId="20" fillId="0" borderId="0" xfId="1" applyFont="1" applyFill="1" applyBorder="1" applyAlignment="1">
      <alignment horizontal="right"/>
    </xf>
    <xf numFmtId="182" fontId="51" fillId="0" borderId="0" xfId="1" applyNumberFormat="1" applyFont="1" applyAlignment="1">
      <alignment horizontal="center"/>
    </xf>
    <xf numFmtId="181" fontId="20" fillId="0" borderId="13" xfId="0" applyNumberFormat="1" applyFont="1" applyBorder="1"/>
    <xf numFmtId="183" fontId="0" fillId="0" borderId="0" xfId="0" applyBorder="1" applyAlignment="1"/>
    <xf numFmtId="183" fontId="0" fillId="0" borderId="6" xfId="0" applyBorder="1" applyAlignment="1"/>
    <xf numFmtId="37" fontId="20" fillId="0" borderId="0" xfId="0" applyNumberFormat="1" applyFont="1" applyBorder="1" applyAlignment="1"/>
    <xf numFmtId="169" fontId="20" fillId="0" borderId="0" xfId="0" applyNumberFormat="1" applyFont="1" applyFill="1" applyBorder="1" applyAlignment="1"/>
    <xf numFmtId="183" fontId="20" fillId="0" borderId="0" xfId="0" applyFont="1" applyBorder="1" applyAlignment="1"/>
    <xf numFmtId="167" fontId="20" fillId="0" borderId="0" xfId="0" applyNumberFormat="1" applyFont="1" applyFill="1" applyBorder="1" applyAlignment="1"/>
    <xf numFmtId="37" fontId="20" fillId="0" borderId="10" xfId="0" applyNumberFormat="1" applyFont="1" applyBorder="1" applyAlignment="1"/>
    <xf numFmtId="37" fontId="20" fillId="0" borderId="5" xfId="0" applyNumberFormat="1" applyFont="1" applyBorder="1" applyAlignment="1"/>
    <xf numFmtId="37" fontId="20" fillId="0" borderId="12" xfId="0" applyNumberFormat="1" applyFont="1" applyBorder="1" applyAlignment="1"/>
    <xf numFmtId="181" fontId="20" fillId="0" borderId="2" xfId="1" applyNumberFormat="1" applyFont="1" applyBorder="1" applyAlignment="1"/>
    <xf numFmtId="181" fontId="20" fillId="0" borderId="10" xfId="1" applyNumberFormat="1" applyFont="1" applyBorder="1" applyAlignment="1"/>
    <xf numFmtId="181" fontId="20" fillId="0" borderId="5" xfId="1" applyNumberFormat="1" applyFont="1" applyBorder="1" applyAlignment="1"/>
    <xf numFmtId="181" fontId="20" fillId="0" borderId="12" xfId="1" applyNumberFormat="1" applyFont="1" applyBorder="1" applyAlignment="1"/>
    <xf numFmtId="168" fontId="20" fillId="0" borderId="0" xfId="0" applyNumberFormat="1" applyFont="1" applyBorder="1" applyAlignment="1"/>
    <xf numFmtId="37" fontId="20" fillId="0" borderId="2" xfId="0" applyNumberFormat="1" applyFont="1" applyBorder="1" applyAlignment="1"/>
    <xf numFmtId="168" fontId="20" fillId="0" borderId="0" xfId="1" applyNumberFormat="1" applyFont="1" applyFill="1" applyBorder="1" applyAlignment="1"/>
    <xf numFmtId="37" fontId="20" fillId="0" borderId="0" xfId="0" applyNumberFormat="1" applyFont="1" applyAlignment="1"/>
    <xf numFmtId="183" fontId="20" fillId="0" borderId="10" xfId="0" applyFont="1" applyBorder="1" applyAlignment="1"/>
    <xf numFmtId="183" fontId="20" fillId="0" borderId="11" xfId="0" applyFont="1" applyBorder="1" applyAlignment="1"/>
    <xf numFmtId="176" fontId="20" fillId="0" borderId="0" xfId="7" applyNumberFormat="1" applyFont="1" applyFill="1" applyAlignment="1"/>
    <xf numFmtId="168" fontId="20" fillId="0" borderId="3" xfId="0" applyNumberFormat="1" applyFont="1" applyFill="1" applyBorder="1" applyAlignment="1"/>
    <xf numFmtId="167" fontId="20" fillId="0" borderId="4" xfId="0" applyNumberFormat="1" applyFont="1" applyFill="1" applyBorder="1" applyAlignment="1"/>
    <xf numFmtId="168" fontId="20" fillId="0" borderId="0" xfId="0" applyNumberFormat="1" applyFont="1" applyFill="1" applyBorder="1" applyAlignment="1"/>
    <xf numFmtId="167" fontId="20" fillId="0" borderId="11" xfId="0" applyNumberFormat="1" applyFont="1" applyFill="1" applyBorder="1" applyAlignment="1"/>
    <xf numFmtId="168" fontId="20" fillId="0" borderId="6" xfId="0" applyNumberFormat="1" applyFont="1" applyFill="1" applyBorder="1" applyAlignment="1"/>
    <xf numFmtId="167" fontId="20" fillId="0" borderId="1" xfId="0" applyNumberFormat="1" applyFont="1" applyFill="1" applyBorder="1" applyAlignment="1"/>
    <xf numFmtId="181" fontId="20" fillId="0" borderId="0" xfId="1" applyNumberFormat="1" applyFont="1" applyBorder="1" applyAlignment="1"/>
    <xf numFmtId="181" fontId="20" fillId="0" borderId="6" xfId="1" applyNumberFormat="1" applyFont="1" applyBorder="1" applyAlignment="1"/>
    <xf numFmtId="181" fontId="20" fillId="0" borderId="13" xfId="1" applyNumberFormat="1" applyFont="1" applyBorder="1" applyAlignment="1"/>
    <xf numFmtId="183" fontId="20" fillId="0" borderId="4" xfId="0" applyFont="1" applyBorder="1" applyAlignment="1"/>
    <xf numFmtId="168" fontId="20" fillId="0" borderId="10" xfId="1" applyNumberFormat="1" applyFont="1" applyFill="1" applyBorder="1" applyAlignment="1"/>
    <xf numFmtId="168" fontId="20" fillId="0" borderId="0" xfId="0" applyNumberFormat="1" applyFont="1" applyAlignment="1"/>
    <xf numFmtId="181" fontId="20" fillId="0" borderId="0" xfId="1" applyNumberFormat="1" applyFont="1" applyFill="1" applyBorder="1" applyAlignment="1"/>
    <xf numFmtId="183" fontId="15" fillId="0" borderId="20" xfId="0" applyFont="1" applyBorder="1"/>
    <xf numFmtId="170" fontId="0" fillId="0" borderId="0" xfId="7" applyNumberFormat="1" applyFont="1"/>
    <xf numFmtId="183" fontId="27" fillId="0" borderId="0" xfId="0" applyFont="1" applyFill="1" applyBorder="1" applyAlignment="1">
      <alignment horizontal="center"/>
    </xf>
    <xf numFmtId="183" fontId="26" fillId="0" borderId="2" xfId="0" applyFont="1" applyFill="1" applyBorder="1" applyAlignment="1">
      <alignment horizontal="center"/>
    </xf>
    <xf numFmtId="183" fontId="15" fillId="0" borderId="0" xfId="0" applyFont="1" applyFill="1" applyAlignment="1" applyProtection="1">
      <alignment horizontal="left" wrapText="1"/>
      <protection locked="0"/>
    </xf>
    <xf numFmtId="183" fontId="36"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38" fillId="0" borderId="0" xfId="0" applyFont="1" applyAlignment="1"/>
    <xf numFmtId="183" fontId="37" fillId="0" borderId="0" xfId="0" applyFont="1" applyAlignment="1"/>
    <xf numFmtId="183" fontId="36" fillId="0" borderId="0" xfId="0" applyFont="1" applyAlignment="1"/>
    <xf numFmtId="183" fontId="0" fillId="0" borderId="0" xfId="0"/>
    <xf numFmtId="183" fontId="26" fillId="0" borderId="0" xfId="0" applyFont="1" applyFill="1" applyBorder="1"/>
    <xf numFmtId="168" fontId="20" fillId="0" borderId="9" xfId="0" applyNumberFormat="1" applyFont="1" applyBorder="1"/>
    <xf numFmtId="168" fontId="20" fillId="0" borderId="9" xfId="0" applyNumberFormat="1" applyFont="1" applyBorder="1" applyAlignment="1">
      <alignment horizontal="right"/>
    </xf>
    <xf numFmtId="168" fontId="20" fillId="0" borderId="0" xfId="0" applyNumberFormat="1" applyFont="1" applyFill="1"/>
    <xf numFmtId="37" fontId="20" fillId="0" borderId="11" xfId="0" applyNumberFormat="1" applyFont="1" applyFill="1" applyBorder="1"/>
    <xf numFmtId="37" fontId="20" fillId="0" borderId="0" xfId="0" applyNumberFormat="1" applyFont="1" applyFill="1"/>
    <xf numFmtId="183" fontId="38" fillId="0" borderId="0" xfId="0" applyFont="1" applyFill="1" applyBorder="1"/>
    <xf numFmtId="183" fontId="27" fillId="0" borderId="0" xfId="0" applyFont="1" applyFill="1" applyBorder="1" applyAlignment="1">
      <alignment horizontal="center"/>
    </xf>
    <xf numFmtId="183" fontId="27" fillId="0" borderId="11" xfId="0" applyFont="1" applyFill="1" applyBorder="1" applyAlignment="1">
      <alignment horizontal="center"/>
    </xf>
    <xf numFmtId="183" fontId="27" fillId="0" borderId="10" xfId="0" applyFont="1" applyFill="1" applyBorder="1" applyAlignment="1">
      <alignment horizontal="center"/>
    </xf>
    <xf numFmtId="183" fontId="16" fillId="0" borderId="10" xfId="0" applyFont="1" applyFill="1" applyBorder="1" applyAlignment="1">
      <alignment horizontal="center"/>
    </xf>
    <xf numFmtId="183" fontId="27" fillId="0" borderId="4" xfId="0" applyFont="1" applyFill="1" applyBorder="1" applyAlignment="1">
      <alignment horizontal="center"/>
    </xf>
    <xf numFmtId="183" fontId="19" fillId="0" borderId="12" xfId="0" applyFont="1" applyFill="1" applyBorder="1" applyAlignment="1">
      <alignment horizontal="center"/>
    </xf>
    <xf numFmtId="183" fontId="19" fillId="0" borderId="13" xfId="0" applyFont="1" applyFill="1" applyBorder="1" applyAlignment="1">
      <alignment horizontal="center"/>
    </xf>
    <xf numFmtId="183" fontId="19" fillId="0" borderId="14" xfId="0" applyFont="1" applyFill="1" applyBorder="1" applyAlignment="1">
      <alignment horizontal="center"/>
    </xf>
    <xf numFmtId="183" fontId="19" fillId="0" borderId="15" xfId="0" applyFont="1" applyFill="1" applyBorder="1" applyAlignment="1">
      <alignment horizontal="center"/>
    </xf>
    <xf numFmtId="37" fontId="20" fillId="0" borderId="4" xfId="0" applyNumberFormat="1" applyFont="1" applyBorder="1"/>
    <xf numFmtId="181" fontId="20" fillId="0" borderId="7" xfId="1" applyNumberFormat="1" applyFont="1" applyBorder="1"/>
    <xf numFmtId="37" fontId="20" fillId="0" borderId="5" xfId="0" applyNumberFormat="1" applyFont="1" applyBorder="1" applyAlignment="1">
      <alignment horizontal="center"/>
    </xf>
    <xf numFmtId="37" fontId="20" fillId="0" borderId="1" xfId="0" applyNumberFormat="1" applyFont="1" applyBorder="1" applyAlignment="1">
      <alignment horizontal="center"/>
    </xf>
    <xf numFmtId="37" fontId="20" fillId="0" borderId="0" xfId="0" applyNumberFormat="1" applyFont="1" applyBorder="1" applyAlignment="1">
      <alignment horizontal="center"/>
    </xf>
    <xf numFmtId="183" fontId="0" fillId="0" borderId="0" xfId="0" applyFill="1" applyBorder="1" applyAlignment="1">
      <alignment horizontal="center"/>
    </xf>
    <xf numFmtId="181" fontId="20" fillId="0" borderId="8" xfId="1" applyNumberFormat="1" applyFont="1" applyBorder="1" applyAlignment="1">
      <alignment horizontal="center"/>
    </xf>
    <xf numFmtId="37" fontId="20" fillId="0" borderId="8" xfId="0" applyNumberFormat="1" applyFont="1" applyBorder="1" applyAlignment="1">
      <alignment horizontal="center"/>
    </xf>
    <xf numFmtId="183" fontId="0" fillId="0" borderId="0" xfId="0" applyFill="1" applyAlignment="1">
      <alignment horizontal="right"/>
    </xf>
    <xf numFmtId="183" fontId="26" fillId="0" borderId="3" xfId="0" applyFont="1" applyFill="1" applyBorder="1" applyAlignment="1">
      <alignment horizontal="centerContinuous"/>
    </xf>
    <xf numFmtId="183" fontId="26" fillId="0" borderId="4" xfId="0" applyFont="1" applyFill="1" applyBorder="1" applyAlignment="1">
      <alignment horizontal="centerContinuous"/>
    </xf>
    <xf numFmtId="183" fontId="0" fillId="0" borderId="13" xfId="0" applyBorder="1"/>
    <xf numFmtId="183" fontId="0" fillId="0" borderId="14" xfId="0" applyBorder="1"/>
    <xf numFmtId="181" fontId="20" fillId="0" borderId="5" xfId="1" applyNumberFormat="1" applyFont="1" applyBorder="1" applyAlignment="1">
      <alignment horizontal="right"/>
    </xf>
    <xf numFmtId="181" fontId="20" fillId="0" borderId="19" xfId="1" applyNumberFormat="1" applyFont="1" applyFill="1" applyBorder="1" applyAlignment="1">
      <alignment horizontal="right"/>
    </xf>
    <xf numFmtId="168" fontId="20" fillId="0" borderId="4" xfId="0" applyNumberFormat="1" applyFont="1" applyBorder="1"/>
    <xf numFmtId="181" fontId="20" fillId="0" borderId="3" xfId="0" applyNumberFormat="1" applyFont="1" applyBorder="1"/>
    <xf numFmtId="181" fontId="20" fillId="0" borderId="6" xfId="0" applyNumberFormat="1" applyFont="1" applyBorder="1" applyAlignment="1">
      <alignment horizontal="center"/>
    </xf>
    <xf numFmtId="183" fontId="20" fillId="0" borderId="3" xfId="0" applyFont="1" applyBorder="1" applyAlignment="1"/>
    <xf numFmtId="37" fontId="20" fillId="0" borderId="0" xfId="0" applyNumberFormat="1" applyFont="1" applyAlignment="1">
      <alignment horizontal="right"/>
    </xf>
    <xf numFmtId="167" fontId="20" fillId="0" borderId="11" xfId="7" applyNumberFormat="1" applyFont="1" applyFill="1" applyBorder="1" applyAlignment="1">
      <alignment horizontal="right"/>
    </xf>
    <xf numFmtId="183" fontId="26" fillId="0" borderId="2" xfId="0" applyFont="1" applyFill="1" applyBorder="1" applyAlignment="1">
      <alignment horizontal="centerContinuous"/>
    </xf>
    <xf numFmtId="181" fontId="36" fillId="0" borderId="0" xfId="1" applyNumberFormat="1" applyFont="1" applyBorder="1"/>
    <xf numFmtId="181" fontId="36" fillId="0" borderId="6" xfId="1" applyNumberFormat="1" applyFont="1" applyBorder="1"/>
    <xf numFmtId="183" fontId="26" fillId="0" borderId="2" xfId="0" applyFont="1" applyFill="1" applyBorder="1" applyAlignment="1">
      <alignment horizontal="center"/>
    </xf>
    <xf numFmtId="183" fontId="16" fillId="0" borderId="9" xfId="0" applyFont="1" applyFill="1" applyBorder="1" applyAlignment="1">
      <alignment horizontal="center"/>
    </xf>
    <xf numFmtId="183" fontId="16" fillId="0" borderId="0" xfId="0" applyFont="1" applyFill="1" applyBorder="1" applyAlignment="1">
      <alignment horizontal="center"/>
    </xf>
    <xf numFmtId="183" fontId="16" fillId="0" borderId="4" xfId="0" applyFont="1" applyFill="1" applyBorder="1" applyAlignment="1">
      <alignment horizontal="center"/>
    </xf>
    <xf numFmtId="183" fontId="20" fillId="0" borderId="2" xfId="0" applyFont="1" applyBorder="1" applyAlignment="1"/>
    <xf numFmtId="168" fontId="20" fillId="0" borderId="16" xfId="1" applyNumberFormat="1" applyFont="1" applyFill="1" applyBorder="1" applyAlignment="1">
      <alignment horizontal="right"/>
    </xf>
    <xf numFmtId="168" fontId="20" fillId="0" borderId="3" xfId="1" applyNumberFormat="1" applyFont="1" applyFill="1" applyBorder="1" applyAlignment="1">
      <alignment horizontal="right"/>
    </xf>
    <xf numFmtId="181" fontId="20" fillId="0" borderId="12" xfId="1" applyNumberFormat="1" applyFont="1" applyBorder="1"/>
    <xf numFmtId="181" fontId="20" fillId="0" borderId="10" xfId="1" applyNumberFormat="1" applyFont="1" applyBorder="1" applyAlignment="1">
      <alignment horizontal="right"/>
    </xf>
    <xf numFmtId="181" fontId="20" fillId="0" borderId="0" xfId="1" applyNumberFormat="1" applyFont="1"/>
    <xf numFmtId="167" fontId="20" fillId="0" borderId="11" xfId="7" applyNumberFormat="1" applyFont="1" applyFill="1" applyBorder="1" applyAlignment="1">
      <alignment horizontal="right"/>
    </xf>
    <xf numFmtId="168" fontId="20" fillId="0" borderId="10" xfId="1" applyNumberFormat="1" applyFont="1" applyFill="1" applyBorder="1"/>
    <xf numFmtId="37" fontId="20" fillId="0" borderId="0" xfId="1" applyNumberFormat="1" applyFont="1" applyFill="1" applyBorder="1" applyAlignment="1">
      <alignment horizontal="right"/>
    </xf>
    <xf numFmtId="167" fontId="20" fillId="0" borderId="14" xfId="0" applyNumberFormat="1" applyFont="1" applyFill="1" applyBorder="1" applyAlignment="1">
      <alignment horizontal="right"/>
    </xf>
    <xf numFmtId="167" fontId="38" fillId="0" borderId="0" xfId="0" applyNumberFormat="1" applyFont="1"/>
    <xf numFmtId="183" fontId="29" fillId="0" borderId="0" xfId="0" applyNumberFormat="1" applyFont="1" applyFill="1" applyAlignment="1">
      <alignment horizontal="center"/>
    </xf>
    <xf numFmtId="183" fontId="26" fillId="0" borderId="2" xfId="0" applyFont="1" applyFill="1" applyBorder="1" applyAlignment="1">
      <alignment horizontal="center"/>
    </xf>
    <xf numFmtId="183" fontId="0" fillId="0" borderId="9" xfId="0" applyBorder="1" applyAlignment="1">
      <alignment horizontal="center"/>
    </xf>
    <xf numFmtId="183" fontId="26" fillId="0" borderId="2" xfId="0" applyFont="1" applyBorder="1" applyAlignment="1">
      <alignment horizontal="center"/>
    </xf>
    <xf numFmtId="166" fontId="20" fillId="0" borderId="2" xfId="0" applyNumberFormat="1" applyFont="1" applyFill="1" applyBorder="1"/>
    <xf numFmtId="181" fontId="20" fillId="0" borderId="9" xfId="1" applyNumberFormat="1" applyFont="1" applyFill="1" applyBorder="1"/>
    <xf numFmtId="165" fontId="20" fillId="0" borderId="11" xfId="1" applyFont="1" applyFill="1" applyBorder="1" applyAlignment="1">
      <alignment horizontal="right"/>
    </xf>
    <xf numFmtId="165" fontId="20" fillId="0" borderId="9" xfId="1" applyFont="1" applyFill="1" applyBorder="1" applyAlignment="1">
      <alignment horizontal="right"/>
    </xf>
    <xf numFmtId="165" fontId="20" fillId="0" borderId="8" xfId="1" applyFont="1" applyFill="1" applyBorder="1" applyAlignment="1">
      <alignment horizontal="right"/>
    </xf>
    <xf numFmtId="186" fontId="0" fillId="0" borderId="0" xfId="0" applyNumberFormat="1" applyFill="1" applyBorder="1"/>
    <xf numFmtId="191" fontId="0" fillId="0" borderId="0" xfId="1" applyNumberFormat="1" applyFont="1" applyAlignment="1">
      <alignment horizontal="center"/>
    </xf>
    <xf numFmtId="183" fontId="58" fillId="0" borderId="0" xfId="26" applyAlignment="1">
      <alignment horizontal="center"/>
    </xf>
    <xf numFmtId="182" fontId="58" fillId="0" borderId="0" xfId="27" applyNumberFormat="1" applyAlignment="1">
      <alignment horizontal="center"/>
    </xf>
    <xf numFmtId="183" fontId="58" fillId="0" borderId="0" xfId="28" applyAlignment="1">
      <alignment horizontal="center"/>
    </xf>
    <xf numFmtId="4" fontId="0" fillId="0" borderId="0" xfId="0" applyNumberFormat="1" applyBorder="1"/>
    <xf numFmtId="4" fontId="0" fillId="0" borderId="21" xfId="0" applyNumberFormat="1" applyBorder="1"/>
    <xf numFmtId="183" fontId="59" fillId="0" borderId="0" xfId="0" applyFont="1"/>
    <xf numFmtId="183" fontId="0" fillId="0" borderId="0" xfId="0"/>
    <xf numFmtId="183" fontId="0" fillId="0" borderId="0" xfId="0" applyBorder="1"/>
    <xf numFmtId="183" fontId="20" fillId="0" borderId="0" xfId="0" applyFont="1"/>
    <xf numFmtId="183" fontId="20" fillId="0" borderId="0" xfId="0" applyFont="1" applyBorder="1"/>
    <xf numFmtId="183" fontId="20" fillId="0" borderId="0" xfId="0" applyFont="1" applyFill="1"/>
    <xf numFmtId="167" fontId="20" fillId="0" borderId="0" xfId="0" applyNumberFormat="1" applyFont="1"/>
    <xf numFmtId="37" fontId="20" fillId="0" borderId="9" xfId="1" applyNumberFormat="1" applyFont="1" applyFill="1" applyBorder="1"/>
    <xf numFmtId="37" fontId="20" fillId="0" borderId="9" xfId="0" applyNumberFormat="1" applyFont="1" applyBorder="1"/>
    <xf numFmtId="168" fontId="20" fillId="0" borderId="0" xfId="0" applyNumberFormat="1" applyFont="1" applyBorder="1"/>
    <xf numFmtId="166" fontId="20" fillId="0" borderId="0" xfId="0" applyNumberFormat="1" applyFont="1"/>
    <xf numFmtId="37" fontId="20" fillId="0" borderId="10" xfId="1" applyNumberFormat="1" applyFont="1" applyFill="1" applyBorder="1" applyAlignment="1">
      <alignment horizontal="right"/>
    </xf>
    <xf numFmtId="37" fontId="20" fillId="0" borderId="0" xfId="0" applyNumberFormat="1" applyFont="1" applyBorder="1" applyAlignment="1">
      <alignment horizontal="right"/>
    </xf>
    <xf numFmtId="166" fontId="20" fillId="0" borderId="0" xfId="0" applyNumberFormat="1" applyFont="1" applyFill="1"/>
    <xf numFmtId="37" fontId="20" fillId="0" borderId="10" xfId="0" applyNumberFormat="1" applyFont="1" applyBorder="1" applyAlignment="1">
      <alignment horizontal="right"/>
    </xf>
    <xf numFmtId="37" fontId="20" fillId="0" borderId="0" xfId="0" applyNumberFormat="1" applyFont="1" applyBorder="1"/>
    <xf numFmtId="37" fontId="20" fillId="0" borderId="11" xfId="0" applyNumberFormat="1" applyFont="1" applyBorder="1"/>
    <xf numFmtId="183" fontId="20" fillId="0" borderId="0" xfId="0" applyFont="1" applyBorder="1" applyAlignment="1">
      <alignment wrapText="1"/>
    </xf>
    <xf numFmtId="167" fontId="20" fillId="0" borderId="9" xfId="7" applyNumberFormat="1" applyFont="1" applyFill="1" applyBorder="1" applyAlignment="1">
      <alignment horizontal="right"/>
    </xf>
    <xf numFmtId="167" fontId="20" fillId="0" borderId="11" xfId="7" applyNumberFormat="1" applyFont="1" applyFill="1" applyBorder="1" applyAlignment="1">
      <alignment horizontal="right"/>
    </xf>
    <xf numFmtId="37" fontId="20" fillId="0" borderId="9" xfId="1" applyNumberFormat="1" applyFont="1" applyFill="1" applyBorder="1" applyAlignment="1">
      <alignment horizontal="right"/>
    </xf>
    <xf numFmtId="37" fontId="20" fillId="0" borderId="0" xfId="1" applyNumberFormat="1" applyFont="1" applyFill="1" applyBorder="1" applyAlignment="1">
      <alignment horizontal="right"/>
    </xf>
    <xf numFmtId="37" fontId="20" fillId="0" borderId="11" xfId="1" applyNumberFormat="1" applyFont="1" applyFill="1" applyBorder="1" applyAlignment="1">
      <alignment horizontal="right"/>
    </xf>
    <xf numFmtId="37" fontId="20" fillId="0" borderId="0" xfId="7" applyNumberFormat="1" applyFont="1" applyFill="1" applyBorder="1" applyAlignment="1">
      <alignment horizontal="right"/>
    </xf>
    <xf numFmtId="181" fontId="20" fillId="0" borderId="11" xfId="1" applyNumberFormat="1" applyFont="1" applyFill="1" applyBorder="1" applyAlignment="1">
      <alignment horizontal="right"/>
    </xf>
    <xf numFmtId="181" fontId="20" fillId="0" borderId="0" xfId="1" applyNumberFormat="1" applyFont="1" applyFill="1" applyBorder="1" applyAlignment="1">
      <alignment horizontal="right"/>
    </xf>
    <xf numFmtId="181" fontId="20" fillId="0" borderId="9" xfId="1" applyNumberFormat="1" applyFont="1" applyBorder="1"/>
    <xf numFmtId="181" fontId="20" fillId="0" borderId="9" xfId="1" applyNumberFormat="1" applyFont="1" applyFill="1" applyBorder="1" applyAlignment="1">
      <alignment horizontal="right"/>
    </xf>
    <xf numFmtId="168" fontId="20" fillId="0" borderId="0" xfId="1" applyNumberFormat="1" applyFont="1" applyFill="1" applyBorder="1"/>
    <xf numFmtId="167" fontId="20" fillId="0" borderId="0" xfId="7" applyNumberFormat="1" applyFont="1" applyFill="1" applyBorder="1" applyAlignment="1">
      <alignment horizontal="right"/>
    </xf>
    <xf numFmtId="183" fontId="38" fillId="0" borderId="0" xfId="14" applyFont="1" applyFill="1" applyAlignment="1"/>
    <xf numFmtId="183" fontId="45" fillId="0" borderId="0" xfId="0" applyFont="1" applyFill="1" applyBorder="1" applyAlignment="1">
      <alignment horizontal="left"/>
    </xf>
    <xf numFmtId="10" fontId="20" fillId="0" borderId="0" xfId="7" applyNumberFormat="1" applyFont="1"/>
    <xf numFmtId="166" fontId="0" fillId="0" borderId="0" xfId="0" applyNumberFormat="1" applyFill="1" applyAlignment="1"/>
    <xf numFmtId="183" fontId="0" fillId="0" borderId="9" xfId="0" applyBorder="1" applyAlignment="1">
      <alignment horizontal="center"/>
    </xf>
    <xf numFmtId="183" fontId="38" fillId="0" borderId="0" xfId="0" applyFont="1" applyFill="1" applyAlignment="1"/>
    <xf numFmtId="168" fontId="20" fillId="0" borderId="0" xfId="7" applyNumberFormat="1" applyFont="1" applyFill="1" applyBorder="1" applyAlignment="1">
      <alignment horizontal="right"/>
    </xf>
    <xf numFmtId="168" fontId="20" fillId="0" borderId="0" xfId="1" applyNumberFormat="1" applyFont="1" applyBorder="1"/>
    <xf numFmtId="168" fontId="20" fillId="0" borderId="13" xfId="7" applyNumberFormat="1" applyFont="1" applyFill="1" applyBorder="1" applyAlignment="1">
      <alignment horizontal="right"/>
    </xf>
    <xf numFmtId="168" fontId="20" fillId="0" borderId="6" xfId="0" applyNumberFormat="1" applyFont="1" applyBorder="1" applyAlignment="1">
      <alignment horizontal="right"/>
    </xf>
    <xf numFmtId="168" fontId="20" fillId="0" borderId="1" xfId="0" applyNumberFormat="1" applyFont="1" applyBorder="1" applyAlignment="1">
      <alignment horizontal="right"/>
    </xf>
    <xf numFmtId="168" fontId="20" fillId="0" borderId="8" xfId="1" applyNumberFormat="1" applyFont="1" applyBorder="1" applyAlignment="1">
      <alignment horizontal="right"/>
    </xf>
    <xf numFmtId="179" fontId="20" fillId="0" borderId="0" xfId="1" applyNumberFormat="1" applyFont="1" applyFill="1" applyBorder="1" applyAlignment="1">
      <alignment horizontal="right"/>
    </xf>
    <xf numFmtId="179" fontId="20" fillId="0" borderId="11" xfId="1" applyNumberFormat="1" applyFont="1" applyFill="1" applyBorder="1" applyAlignment="1">
      <alignment horizontal="right"/>
    </xf>
    <xf numFmtId="166" fontId="20" fillId="0" borderId="0" xfId="1" applyNumberFormat="1" applyFont="1" applyFill="1" applyBorder="1" applyAlignment="1">
      <alignment horizontal="right"/>
    </xf>
    <xf numFmtId="166" fontId="20" fillId="0" borderId="11" xfId="1" applyNumberFormat="1" applyFont="1" applyFill="1" applyBorder="1" applyAlignment="1">
      <alignment horizontal="right"/>
    </xf>
    <xf numFmtId="166" fontId="20" fillId="0" borderId="0" xfId="1" applyNumberFormat="1" applyFont="1" applyFill="1" applyBorder="1"/>
    <xf numFmtId="181" fontId="20" fillId="0" borderId="9" xfId="1" applyNumberFormat="1" applyFont="1" applyBorder="1" applyAlignment="1">
      <alignment horizontal="right"/>
    </xf>
    <xf numFmtId="181" fontId="20" fillId="0" borderId="6" xfId="1" applyNumberFormat="1" applyFont="1" applyFill="1" applyBorder="1" applyAlignment="1">
      <alignment horizontal="right"/>
    </xf>
    <xf numFmtId="181" fontId="20" fillId="0" borderId="8" xfId="1" applyNumberFormat="1" applyFont="1" applyBorder="1" applyAlignment="1">
      <alignment horizontal="right"/>
    </xf>
    <xf numFmtId="183" fontId="27" fillId="0" borderId="10" xfId="0" applyFont="1" applyFill="1" applyBorder="1" applyAlignment="1">
      <alignment horizontal="center"/>
    </xf>
    <xf numFmtId="183" fontId="26" fillId="0" borderId="2" xfId="0" applyFont="1" applyFill="1" applyBorder="1" applyAlignment="1">
      <alignment horizontal="center"/>
    </xf>
    <xf numFmtId="183" fontId="20" fillId="0" borderId="41" xfId="0" applyFont="1" applyBorder="1"/>
    <xf numFmtId="37" fontId="20" fillId="0" borderId="41" xfId="1" applyNumberFormat="1" applyFont="1" applyFill="1" applyBorder="1" applyAlignment="1">
      <alignment horizontal="right"/>
    </xf>
    <xf numFmtId="170" fontId="0" fillId="0" borderId="0" xfId="7" applyNumberFormat="1" applyFont="1" applyAlignment="1"/>
    <xf numFmtId="2" fontId="55" fillId="0" borderId="0" xfId="0" applyNumberFormat="1" applyFont="1" applyBorder="1" applyAlignment="1">
      <alignment horizontal="right" vertical="center"/>
    </xf>
    <xf numFmtId="170" fontId="0" fillId="0" borderId="0" xfId="7" applyNumberFormat="1" applyFont="1" applyBorder="1" applyAlignment="1"/>
    <xf numFmtId="181" fontId="0" fillId="0" borderId="0" xfId="1" applyNumberFormat="1" applyFont="1" applyBorder="1" applyAlignment="1"/>
    <xf numFmtId="167" fontId="20" fillId="0" borderId="4" xfId="7" applyNumberFormat="1" applyFont="1" applyFill="1" applyBorder="1" applyAlignment="1"/>
    <xf numFmtId="37" fontId="20" fillId="0" borderId="3" xfId="1" applyNumberFormat="1" applyFont="1" applyFill="1" applyBorder="1" applyAlignment="1">
      <alignment horizontal="center"/>
    </xf>
    <xf numFmtId="37" fontId="20" fillId="0" borderId="4" xfId="1" applyNumberFormat="1" applyFont="1" applyFill="1" applyBorder="1" applyAlignment="1">
      <alignment horizontal="center"/>
    </xf>
    <xf numFmtId="168" fontId="20" fillId="0" borderId="7" xfId="1" applyNumberFormat="1" applyFont="1" applyFill="1" applyBorder="1" applyAlignment="1">
      <alignment horizontal="center"/>
    </xf>
    <xf numFmtId="37" fontId="20" fillId="0" borderId="2" xfId="1" applyNumberFormat="1" applyFont="1" applyFill="1" applyBorder="1" applyAlignment="1">
      <alignment horizontal="center"/>
    </xf>
    <xf numFmtId="166" fontId="20" fillId="0" borderId="11" xfId="1" applyNumberFormat="1" applyFont="1" applyFill="1" applyBorder="1"/>
    <xf numFmtId="183" fontId="26" fillId="0" borderId="0" xfId="0" applyFont="1" applyBorder="1" applyAlignment="1">
      <alignment wrapText="1"/>
    </xf>
    <xf numFmtId="37" fontId="20" fillId="0" borderId="10" xfId="1" applyNumberFormat="1" applyFont="1" applyFill="1" applyBorder="1" applyAlignment="1">
      <alignment horizontal="center"/>
    </xf>
    <xf numFmtId="37" fontId="20" fillId="0" borderId="1" xfId="1" applyNumberFormat="1" applyFont="1" applyFill="1" applyBorder="1" applyAlignment="1">
      <alignment horizontal="center"/>
    </xf>
    <xf numFmtId="168" fontId="20" fillId="0" borderId="8" xfId="1" applyNumberFormat="1" applyFont="1" applyFill="1" applyBorder="1" applyAlignment="1">
      <alignment horizontal="center"/>
    </xf>
    <xf numFmtId="183" fontId="20" fillId="0" borderId="0" xfId="0" applyFont="1" applyBorder="1" applyAlignment="1">
      <alignment horizontal="left" wrapText="1" indent="1"/>
    </xf>
    <xf numFmtId="166" fontId="20" fillId="0" borderId="1" xfId="1" applyNumberFormat="1" applyFont="1" applyFill="1" applyBorder="1" applyAlignment="1">
      <alignment horizontal="right"/>
    </xf>
    <xf numFmtId="166" fontId="20" fillId="0" borderId="9" xfId="1" applyNumberFormat="1" applyFont="1" applyFill="1" applyBorder="1" applyAlignment="1">
      <alignment horizontal="right"/>
    </xf>
    <xf numFmtId="166" fontId="20" fillId="0" borderId="7" xfId="1" applyNumberFormat="1" applyFont="1" applyFill="1" applyBorder="1" applyAlignment="1">
      <alignment horizontal="right"/>
    </xf>
    <xf numFmtId="166" fontId="20" fillId="0" borderId="6" xfId="1" applyNumberFormat="1" applyFont="1" applyFill="1" applyBorder="1" applyAlignment="1">
      <alignment horizontal="right"/>
    </xf>
    <xf numFmtId="37" fontId="20" fillId="0" borderId="42" xfId="1" applyNumberFormat="1" applyFont="1" applyFill="1" applyBorder="1" applyAlignment="1">
      <alignment horizontal="right"/>
    </xf>
    <xf numFmtId="166" fontId="20" fillId="4" borderId="9" xfId="1" applyNumberFormat="1" applyFont="1" applyFill="1" applyBorder="1" applyAlignment="1">
      <alignment horizontal="right"/>
    </xf>
    <xf numFmtId="37" fontId="20" fillId="4" borderId="9" xfId="1" applyNumberFormat="1" applyFont="1" applyFill="1" applyBorder="1" applyAlignment="1">
      <alignment horizontal="right"/>
    </xf>
    <xf numFmtId="37" fontId="20" fillId="4" borderId="8" xfId="1" applyNumberFormat="1" applyFont="1" applyFill="1" applyBorder="1" applyAlignment="1">
      <alignment horizontal="right"/>
    </xf>
    <xf numFmtId="37" fontId="20" fillId="0" borderId="7" xfId="1" applyNumberFormat="1" applyFont="1" applyFill="1" applyBorder="1" applyAlignment="1">
      <alignment horizontal="center"/>
    </xf>
    <xf numFmtId="181" fontId="20" fillId="0" borderId="3" xfId="1" applyNumberFormat="1" applyFont="1" applyFill="1" applyBorder="1" applyAlignment="1">
      <alignment horizontal="right"/>
    </xf>
    <xf numFmtId="181" fontId="20" fillId="0" borderId="7" xfId="1" applyNumberFormat="1" applyFont="1" applyFill="1" applyBorder="1" applyAlignment="1">
      <alignment horizontal="right"/>
    </xf>
    <xf numFmtId="181" fontId="20" fillId="0" borderId="1" xfId="1" applyNumberFormat="1" applyFont="1" applyFill="1" applyBorder="1" applyAlignment="1">
      <alignment horizontal="right"/>
    </xf>
    <xf numFmtId="166" fontId="20" fillId="0" borderId="4" xfId="1" applyNumberFormat="1" applyFont="1" applyFill="1" applyBorder="1" applyAlignment="1">
      <alignment horizontal="right"/>
    </xf>
    <xf numFmtId="166" fontId="20" fillId="0" borderId="14" xfId="1" applyNumberFormat="1" applyFont="1" applyFill="1" applyBorder="1" applyAlignment="1">
      <alignment horizontal="right"/>
    </xf>
    <xf numFmtId="37" fontId="20" fillId="0" borderId="42" xfId="0" applyNumberFormat="1" applyFont="1" applyBorder="1" applyAlignment="1">
      <alignment horizontal="right"/>
    </xf>
    <xf numFmtId="166" fontId="20" fillId="0" borderId="1" xfId="0" applyNumberFormat="1" applyFont="1" applyBorder="1"/>
    <xf numFmtId="166" fontId="20" fillId="0" borderId="6" xfId="1" applyNumberFormat="1" applyFont="1" applyFill="1" applyBorder="1"/>
    <xf numFmtId="166" fontId="20" fillId="0" borderId="1" xfId="1" applyNumberFormat="1" applyFont="1" applyFill="1" applyBorder="1"/>
    <xf numFmtId="166" fontId="20" fillId="0" borderId="8" xfId="1" applyNumberFormat="1" applyFont="1" applyFill="1" applyBorder="1" applyAlignment="1">
      <alignment horizontal="right"/>
    </xf>
    <xf numFmtId="183" fontId="36" fillId="0" borderId="10" xfId="0" applyFont="1" applyBorder="1" applyAlignment="1">
      <alignment horizontal="left" wrapText="1" indent="2"/>
    </xf>
    <xf numFmtId="183" fontId="27" fillId="0" borderId="0" xfId="0" applyFont="1" applyFill="1" applyBorder="1" applyAlignment="1">
      <alignment horizontal="center"/>
    </xf>
    <xf numFmtId="183" fontId="27" fillId="0" borderId="11" xfId="0" applyFont="1" applyFill="1" applyBorder="1" applyAlignment="1">
      <alignment horizontal="center"/>
    </xf>
    <xf numFmtId="183" fontId="26" fillId="0" borderId="0" xfId="0" applyFont="1" applyAlignment="1">
      <alignment wrapText="1"/>
    </xf>
    <xf numFmtId="183" fontId="27" fillId="0" borderId="10" xfId="0" applyFont="1" applyFill="1" applyBorder="1" applyAlignment="1">
      <alignment horizontal="center"/>
    </xf>
    <xf numFmtId="183" fontId="26" fillId="0" borderId="7" xfId="0" applyFont="1" applyBorder="1" applyAlignment="1">
      <alignment horizontal="center"/>
    </xf>
    <xf numFmtId="183" fontId="26" fillId="0" borderId="2" xfId="0" applyFont="1" applyBorder="1" applyAlignment="1">
      <alignment horizontal="center"/>
    </xf>
    <xf numFmtId="0" fontId="15" fillId="0" borderId="0" xfId="75"/>
    <xf numFmtId="0" fontId="15" fillId="0" borderId="0" xfId="75" applyBorder="1"/>
    <xf numFmtId="37" fontId="15" fillId="0" borderId="0" xfId="75" applyNumberFormat="1" applyBorder="1"/>
    <xf numFmtId="0" fontId="15" fillId="0" borderId="0" xfId="75" applyAlignment="1"/>
    <xf numFmtId="0" fontId="17" fillId="0" borderId="0" xfId="75" applyFont="1"/>
    <xf numFmtId="0" fontId="18" fillId="0" borderId="0" xfId="75" applyFont="1" applyFill="1" applyBorder="1" applyAlignment="1">
      <alignment horizontal="left"/>
    </xf>
    <xf numFmtId="0" fontId="15" fillId="0" borderId="0" xfId="75" applyFill="1" applyBorder="1"/>
    <xf numFmtId="0" fontId="15" fillId="0" borderId="6" xfId="75" applyFill="1" applyBorder="1"/>
    <xf numFmtId="0" fontId="15" fillId="0" borderId="0" xfId="75" applyBorder="1" applyAlignment="1"/>
    <xf numFmtId="0" fontId="19" fillId="0" borderId="0" xfId="75" applyFont="1" applyFill="1" applyBorder="1"/>
    <xf numFmtId="0" fontId="20" fillId="0" borderId="0" xfId="75" applyFont="1" applyFill="1" applyBorder="1"/>
    <xf numFmtId="0" fontId="26" fillId="0" borderId="9" xfId="75" applyFont="1" applyFill="1" applyBorder="1" applyAlignment="1">
      <alignment horizontal="center"/>
    </xf>
    <xf numFmtId="0" fontId="15" fillId="0" borderId="3" xfId="75" applyBorder="1"/>
    <xf numFmtId="0" fontId="15" fillId="0" borderId="4" xfId="75" applyBorder="1"/>
    <xf numFmtId="0" fontId="15" fillId="0" borderId="2" xfId="75" applyBorder="1"/>
    <xf numFmtId="0" fontId="15" fillId="0" borderId="9" xfId="75" applyBorder="1"/>
    <xf numFmtId="0" fontId="26" fillId="0" borderId="0" xfId="75" applyFont="1" applyFill="1" applyBorder="1" applyAlignment="1">
      <alignment horizontal="center"/>
    </xf>
    <xf numFmtId="0" fontId="26" fillId="0" borderId="7" xfId="75" applyFont="1" applyFill="1" applyBorder="1" applyAlignment="1">
      <alignment horizontal="center"/>
    </xf>
    <xf numFmtId="0" fontId="15" fillId="0" borderId="7" xfId="75" applyBorder="1"/>
    <xf numFmtId="0" fontId="26" fillId="0" borderId="7" xfId="75" applyFont="1" applyBorder="1" applyAlignment="1">
      <alignment horizontal="center"/>
    </xf>
    <xf numFmtId="0" fontId="15" fillId="0" borderId="10" xfId="75" applyBorder="1"/>
    <xf numFmtId="0" fontId="16" fillId="0" borderId="9" xfId="75" applyFont="1" applyFill="1" applyBorder="1" applyAlignment="1">
      <alignment horizontal="center"/>
    </xf>
    <xf numFmtId="0" fontId="26" fillId="0" borderId="6" xfId="75" applyFont="1" applyFill="1" applyBorder="1" applyAlignment="1">
      <alignment horizontal="center"/>
    </xf>
    <xf numFmtId="0" fontId="26" fillId="0" borderId="1" xfId="75" applyFont="1" applyFill="1" applyBorder="1" applyAlignment="1">
      <alignment horizontal="center"/>
    </xf>
    <xf numFmtId="0" fontId="26" fillId="0" borderId="5" xfId="75" applyFont="1" applyFill="1" applyBorder="1" applyAlignment="1">
      <alignment horizontal="center"/>
    </xf>
    <xf numFmtId="0" fontId="16" fillId="0" borderId="0" xfId="75" applyFont="1" applyFill="1" applyBorder="1" applyAlignment="1">
      <alignment horizontal="center"/>
    </xf>
    <xf numFmtId="0" fontId="26" fillId="0" borderId="8" xfId="75" applyFont="1" applyFill="1" applyBorder="1" applyAlignment="1">
      <alignment horizontal="center"/>
    </xf>
    <xf numFmtId="0" fontId="80" fillId="0" borderId="10" xfId="75" applyFont="1" applyFill="1" applyBorder="1" applyAlignment="1">
      <alignment horizontal="center"/>
    </xf>
    <xf numFmtId="0" fontId="80" fillId="0" borderId="4" xfId="75" applyFont="1" applyFill="1" applyBorder="1" applyAlignment="1">
      <alignment horizontal="center"/>
    </xf>
    <xf numFmtId="0" fontId="80" fillId="0" borderId="9" xfId="75" applyFont="1" applyFill="1" applyBorder="1" applyAlignment="1">
      <alignment horizontal="center"/>
    </xf>
    <xf numFmtId="0" fontId="19" fillId="0" borderId="0" xfId="75" applyFont="1" applyFill="1" applyBorder="1" applyAlignment="1">
      <alignment horizontal="center"/>
    </xf>
    <xf numFmtId="0" fontId="19" fillId="0" borderId="11" xfId="75" applyFont="1" applyFill="1" applyBorder="1" applyAlignment="1">
      <alignment horizontal="center"/>
    </xf>
    <xf numFmtId="0" fontId="19" fillId="0" borderId="10" xfId="75" applyFont="1" applyFill="1" applyBorder="1" applyAlignment="1">
      <alignment horizontal="center"/>
    </xf>
    <xf numFmtId="0" fontId="19" fillId="0" borderId="9" xfId="75" applyFont="1" applyFill="1" applyBorder="1" applyAlignment="1">
      <alignment horizontal="center"/>
    </xf>
    <xf numFmtId="0" fontId="80" fillId="0" borderId="0" xfId="75" applyFont="1" applyFill="1" applyBorder="1" applyAlignment="1">
      <alignment horizontal="center"/>
    </xf>
    <xf numFmtId="0" fontId="19" fillId="0" borderId="15" xfId="75" applyFont="1" applyFill="1" applyBorder="1" applyAlignment="1">
      <alignment horizontal="center"/>
    </xf>
    <xf numFmtId="0" fontId="45" fillId="0" borderId="10" xfId="75" applyFont="1" applyBorder="1"/>
    <xf numFmtId="0" fontId="45" fillId="0" borderId="0" xfId="75" applyFont="1" applyBorder="1"/>
    <xf numFmtId="0" fontId="45" fillId="0" borderId="0" xfId="75" applyFont="1"/>
    <xf numFmtId="0" fontId="26" fillId="0" borderId="0" xfId="75" applyFont="1" applyFill="1" applyBorder="1"/>
    <xf numFmtId="0" fontId="22" fillId="0" borderId="0" xfId="75" applyFont="1" applyFill="1" applyBorder="1"/>
    <xf numFmtId="0" fontId="20" fillId="0" borderId="10" xfId="75" applyFont="1" applyBorder="1"/>
    <xf numFmtId="0" fontId="20" fillId="0" borderId="11" xfId="75" applyFont="1" applyBorder="1"/>
    <xf numFmtId="0" fontId="20" fillId="0" borderId="9" xfId="75" applyFont="1" applyBorder="1"/>
    <xf numFmtId="0" fontId="20" fillId="0" borderId="0" xfId="75" applyFont="1" applyBorder="1"/>
    <xf numFmtId="0" fontId="20" fillId="0" borderId="0" xfId="75" applyFont="1"/>
    <xf numFmtId="175" fontId="20" fillId="0" borderId="9" xfId="13" applyNumberFormat="1" applyFont="1" applyFill="1" applyBorder="1"/>
    <xf numFmtId="175" fontId="20" fillId="0" borderId="7" xfId="13" applyNumberFormat="1" applyFont="1" applyFill="1" applyBorder="1"/>
    <xf numFmtId="168" fontId="20" fillId="0" borderId="10" xfId="13" applyNumberFormat="1" applyFont="1" applyFill="1" applyBorder="1"/>
    <xf numFmtId="167" fontId="20" fillId="0" borderId="11" xfId="16" applyNumberFormat="1" applyFont="1" applyFill="1" applyBorder="1" applyAlignment="1">
      <alignment horizontal="right"/>
    </xf>
    <xf numFmtId="167" fontId="20" fillId="0" borderId="9" xfId="16" applyNumberFormat="1" applyFont="1" applyFill="1" applyBorder="1" applyAlignment="1">
      <alignment horizontal="right"/>
    </xf>
    <xf numFmtId="37" fontId="20" fillId="0" borderId="6" xfId="13" applyNumberFormat="1" applyFont="1" applyFill="1" applyBorder="1"/>
    <xf numFmtId="37" fontId="20" fillId="0" borderId="11" xfId="13" applyNumberFormat="1" applyFont="1" applyFill="1" applyBorder="1"/>
    <xf numFmtId="37" fontId="20" fillId="0" borderId="6" xfId="75" applyNumberFormat="1" applyFont="1" applyFill="1" applyBorder="1"/>
    <xf numFmtId="37" fontId="20" fillId="0" borderId="0" xfId="16" applyNumberFormat="1" applyFont="1" applyFill="1" applyBorder="1" applyAlignment="1">
      <alignment horizontal="right"/>
    </xf>
    <xf numFmtId="168" fontId="20" fillId="0" borderId="0" xfId="75" applyNumberFormat="1" applyFont="1" applyBorder="1"/>
    <xf numFmtId="168" fontId="20" fillId="0" borderId="0" xfId="75" applyNumberFormat="1" applyFont="1"/>
    <xf numFmtId="168" fontId="20" fillId="0" borderId="0" xfId="13" applyNumberFormat="1" applyFont="1" applyFill="1" applyBorder="1" applyAlignment="1"/>
    <xf numFmtId="37" fontId="20" fillId="0" borderId="9" xfId="13" applyNumberFormat="1" applyFont="1" applyFill="1" applyBorder="1" applyAlignment="1">
      <alignment horizontal="right"/>
    </xf>
    <xf numFmtId="168" fontId="20" fillId="0" borderId="12" xfId="13" applyNumberFormat="1" applyFont="1" applyFill="1" applyBorder="1"/>
    <xf numFmtId="167" fontId="20" fillId="0" borderId="14" xfId="16" applyNumberFormat="1" applyFont="1" applyFill="1" applyBorder="1" applyAlignment="1">
      <alignment horizontal="right"/>
    </xf>
    <xf numFmtId="168" fontId="20" fillId="0" borderId="13" xfId="13" applyNumberFormat="1" applyFont="1" applyFill="1" applyBorder="1" applyAlignment="1"/>
    <xf numFmtId="37" fontId="20" fillId="0" borderId="15" xfId="13" applyNumberFormat="1" applyFont="1" applyFill="1" applyBorder="1" applyAlignment="1">
      <alignment horizontal="right"/>
    </xf>
    <xf numFmtId="168" fontId="20" fillId="0" borderId="15" xfId="13" applyNumberFormat="1" applyFont="1" applyFill="1" applyBorder="1"/>
    <xf numFmtId="37" fontId="20" fillId="0" borderId="4" xfId="13" applyNumberFormat="1" applyFont="1" applyFill="1" applyBorder="1"/>
    <xf numFmtId="37" fontId="20" fillId="0" borderId="0" xfId="13" applyNumberFormat="1" applyFont="1" applyFill="1" applyBorder="1"/>
    <xf numFmtId="37" fontId="20" fillId="0" borderId="10" xfId="13" applyNumberFormat="1" applyFont="1" applyFill="1" applyBorder="1"/>
    <xf numFmtId="0" fontId="20" fillId="0" borderId="9" xfId="75" applyFont="1" applyBorder="1" applyAlignment="1">
      <alignment horizontal="right"/>
    </xf>
    <xf numFmtId="168" fontId="20" fillId="0" borderId="9" xfId="13" applyNumberFormat="1" applyFont="1" applyFill="1" applyBorder="1"/>
    <xf numFmtId="37" fontId="20" fillId="0" borderId="9" xfId="75" applyNumberFormat="1" applyFont="1" applyBorder="1" applyAlignment="1">
      <alignment horizontal="right"/>
    </xf>
    <xf numFmtId="168" fontId="20" fillId="0" borderId="9" xfId="13" applyNumberFormat="1" applyFont="1" applyFill="1" applyBorder="1" applyAlignment="1"/>
    <xf numFmtId="37" fontId="20" fillId="0" borderId="11" xfId="13" applyNumberFormat="1" applyFont="1" applyFill="1" applyBorder="1" applyAlignment="1">
      <alignment horizontal="right"/>
    </xf>
    <xf numFmtId="168" fontId="20" fillId="0" borderId="5" xfId="13" applyNumberFormat="1" applyFont="1" applyFill="1" applyBorder="1"/>
    <xf numFmtId="167" fontId="20" fillId="0" borderId="1" xfId="16" applyNumberFormat="1" applyFont="1" applyFill="1" applyBorder="1" applyAlignment="1">
      <alignment horizontal="right"/>
    </xf>
    <xf numFmtId="37" fontId="20" fillId="0" borderId="6" xfId="16" applyNumberFormat="1" applyFont="1" applyFill="1" applyBorder="1" applyAlignment="1">
      <alignment horizontal="right"/>
    </xf>
    <xf numFmtId="37" fontId="20" fillId="0" borderId="1" xfId="13" applyNumberFormat="1" applyFont="1" applyFill="1" applyBorder="1"/>
    <xf numFmtId="168" fontId="20" fillId="0" borderId="6" xfId="13" applyNumberFormat="1" applyFont="1" applyFill="1" applyBorder="1" applyAlignment="1"/>
    <xf numFmtId="37" fontId="20" fillId="0" borderId="8" xfId="75" applyNumberFormat="1" applyFont="1" applyBorder="1" applyAlignment="1">
      <alignment horizontal="right"/>
    </xf>
    <xf numFmtId="168" fontId="20" fillId="0" borderId="8" xfId="13" applyNumberFormat="1" applyFont="1" applyFill="1" applyBorder="1" applyAlignment="1"/>
    <xf numFmtId="168" fontId="20" fillId="0" borderId="0" xfId="13" applyNumberFormat="1" applyFont="1" applyFill="1" applyBorder="1"/>
    <xf numFmtId="168" fontId="20" fillId="0" borderId="0" xfId="13" applyNumberFormat="1" applyFont="1" applyFill="1" applyBorder="1" applyAlignment="1">
      <alignment horizontal="right"/>
    </xf>
    <xf numFmtId="0" fontId="20" fillId="0" borderId="0" xfId="75" applyFont="1" applyBorder="1" applyAlignment="1">
      <alignment horizontal="right"/>
    </xf>
    <xf numFmtId="167" fontId="20" fillId="0" borderId="11" xfId="16" applyNumberFormat="1" applyFont="1" applyFill="1" applyBorder="1" applyAlignment="1"/>
    <xf numFmtId="165" fontId="20" fillId="0" borderId="10" xfId="13" applyFont="1" applyBorder="1"/>
    <xf numFmtId="168" fontId="20" fillId="0" borderId="0" xfId="16" applyNumberFormat="1" applyFont="1" applyFill="1" applyBorder="1" applyAlignment="1">
      <alignment horizontal="right"/>
    </xf>
    <xf numFmtId="181" fontId="20" fillId="0" borderId="0" xfId="13" applyNumberFormat="1" applyFont="1" applyFill="1" applyBorder="1" applyAlignment="1"/>
    <xf numFmtId="165" fontId="20" fillId="0" borderId="9" xfId="13" applyFont="1" applyBorder="1" applyAlignment="1">
      <alignment horizontal="right"/>
    </xf>
    <xf numFmtId="165" fontId="20" fillId="0" borderId="9" xfId="13" applyFont="1" applyFill="1" applyBorder="1"/>
    <xf numFmtId="168" fontId="20" fillId="0" borderId="0" xfId="75" applyNumberFormat="1" applyFont="1" applyBorder="1" applyAlignment="1">
      <alignment horizontal="right"/>
    </xf>
    <xf numFmtId="168" fontId="20" fillId="0" borderId="9" xfId="75" applyNumberFormat="1" applyFont="1" applyBorder="1" applyAlignment="1">
      <alignment horizontal="right"/>
    </xf>
    <xf numFmtId="0" fontId="20" fillId="0" borderId="0" xfId="75" applyFont="1" applyFill="1"/>
    <xf numFmtId="168" fontId="20" fillId="0" borderId="5" xfId="75" applyNumberFormat="1" applyFont="1" applyBorder="1" applyAlignment="1">
      <alignment horizontal="right"/>
    </xf>
    <xf numFmtId="165" fontId="20" fillId="0" borderId="8" xfId="13" applyFont="1" applyBorder="1" applyAlignment="1">
      <alignment horizontal="right"/>
    </xf>
    <xf numFmtId="167" fontId="20" fillId="0" borderId="4" xfId="16" applyNumberFormat="1" applyFont="1" applyFill="1" applyBorder="1" applyAlignment="1"/>
    <xf numFmtId="37" fontId="20" fillId="0" borderId="2" xfId="13" applyNumberFormat="1" applyFont="1" applyFill="1" applyBorder="1"/>
    <xf numFmtId="167" fontId="20" fillId="0" borderId="4" xfId="16" applyNumberFormat="1" applyFont="1" applyFill="1" applyBorder="1" applyAlignment="1">
      <alignment horizontal="right"/>
    </xf>
    <xf numFmtId="37" fontId="20" fillId="0" borderId="7" xfId="13" applyNumberFormat="1" applyFont="1" applyFill="1" applyBorder="1" applyAlignment="1">
      <alignment horizontal="right"/>
    </xf>
    <xf numFmtId="168" fontId="20" fillId="0" borderId="7" xfId="13" applyNumberFormat="1" applyFont="1" applyFill="1" applyBorder="1"/>
    <xf numFmtId="37" fontId="20" fillId="0" borderId="14" xfId="13" applyNumberFormat="1" applyFont="1" applyFill="1" applyBorder="1" applyAlignment="1">
      <alignment horizontal="right"/>
    </xf>
    <xf numFmtId="168" fontId="20" fillId="0" borderId="17" xfId="13" applyNumberFormat="1" applyFont="1" applyFill="1" applyBorder="1"/>
    <xf numFmtId="0" fontId="29" fillId="0" borderId="0" xfId="75" applyFont="1" applyBorder="1"/>
    <xf numFmtId="0" fontId="29" fillId="0" borderId="0" xfId="75" applyFont="1"/>
    <xf numFmtId="0" fontId="20" fillId="0" borderId="0" xfId="75" applyFont="1" applyBorder="1" applyAlignment="1">
      <alignment wrapText="1"/>
    </xf>
    <xf numFmtId="0" fontId="20" fillId="0" borderId="0" xfId="75" applyFont="1" applyBorder="1" applyAlignment="1">
      <alignment horizontal="center"/>
    </xf>
    <xf numFmtId="168" fontId="20" fillId="0" borderId="9" xfId="13" applyNumberFormat="1" applyFont="1" applyFill="1" applyBorder="1" applyAlignment="1">
      <alignment horizontal="right"/>
    </xf>
    <xf numFmtId="168" fontId="20" fillId="0" borderId="16" xfId="13" applyNumberFormat="1" applyFont="1" applyFill="1" applyBorder="1"/>
    <xf numFmtId="37" fontId="20" fillId="0" borderId="17" xfId="13" applyNumberFormat="1" applyFont="1" applyFill="1" applyBorder="1" applyAlignment="1">
      <alignment horizontal="right"/>
    </xf>
    <xf numFmtId="37" fontId="20" fillId="0" borderId="18" xfId="13" applyNumberFormat="1" applyFont="1" applyFill="1" applyBorder="1" applyAlignment="1">
      <alignment horizontal="right"/>
    </xf>
    <xf numFmtId="168" fontId="20" fillId="0" borderId="18" xfId="13" applyNumberFormat="1" applyFont="1" applyFill="1" applyBorder="1"/>
    <xf numFmtId="167" fontId="20" fillId="0" borderId="0" xfId="16" applyNumberFormat="1" applyFont="1" applyFill="1" applyBorder="1" applyAlignment="1">
      <alignment horizontal="right"/>
    </xf>
    <xf numFmtId="0" fontId="20" fillId="0" borderId="0" xfId="16" applyNumberFormat="1" applyFont="1" applyFill="1" applyBorder="1" applyAlignment="1">
      <alignment horizontal="right"/>
    </xf>
    <xf numFmtId="169" fontId="20" fillId="0" borderId="0" xfId="75" applyNumberFormat="1" applyFont="1" applyBorder="1"/>
    <xf numFmtId="176" fontId="20" fillId="0" borderId="0" xfId="75" applyNumberFormat="1" applyFont="1" applyFill="1" applyBorder="1" applyAlignment="1">
      <alignment horizontal="right"/>
    </xf>
    <xf numFmtId="167" fontId="20" fillId="0" borderId="0" xfId="75" applyNumberFormat="1" applyFont="1" applyBorder="1"/>
    <xf numFmtId="167" fontId="20" fillId="0" borderId="0" xfId="75" applyNumberFormat="1" applyFont="1"/>
    <xf numFmtId="167" fontId="20" fillId="0" borderId="0" xfId="75" applyNumberFormat="1" applyFont="1" applyFill="1"/>
    <xf numFmtId="167" fontId="20" fillId="0" borderId="0" xfId="16" applyNumberFormat="1" applyFont="1" applyFill="1" applyBorder="1"/>
    <xf numFmtId="167" fontId="20" fillId="0" borderId="0" xfId="16" applyNumberFormat="1" applyFont="1" applyFill="1"/>
    <xf numFmtId="176" fontId="20" fillId="0" borderId="0" xfId="75" applyNumberFormat="1" applyFont="1" applyFill="1" applyBorder="1" applyAlignment="1">
      <alignment horizontal="center"/>
    </xf>
    <xf numFmtId="167" fontId="20" fillId="0" borderId="0" xfId="75" applyNumberFormat="1" applyFont="1" applyFill="1" applyBorder="1"/>
    <xf numFmtId="170" fontId="20" fillId="0" borderId="0" xfId="16" applyNumberFormat="1" applyFont="1" applyFill="1"/>
    <xf numFmtId="0" fontId="20" fillId="0" borderId="0" xfId="75" applyFont="1" applyBorder="1" applyAlignment="1"/>
    <xf numFmtId="180" fontId="20" fillId="0" borderId="0" xfId="75" applyNumberFormat="1" applyFont="1" applyFill="1"/>
    <xf numFmtId="167" fontId="17" fillId="0" borderId="0" xfId="77" applyNumberFormat="1" applyFont="1" applyBorder="1"/>
    <xf numFmtId="169" fontId="20" fillId="0" borderId="0" xfId="75" applyNumberFormat="1" applyFont="1" applyFill="1"/>
    <xf numFmtId="167" fontId="22" fillId="0" borderId="0" xfId="75" applyNumberFormat="1" applyFont="1" applyBorder="1"/>
    <xf numFmtId="0" fontId="20" fillId="0" borderId="6" xfId="75" applyFont="1" applyBorder="1"/>
    <xf numFmtId="0" fontId="20" fillId="0" borderId="2" xfId="75" applyFont="1" applyBorder="1"/>
    <xf numFmtId="0" fontId="20" fillId="0" borderId="7" xfId="75" applyFont="1" applyBorder="1"/>
    <xf numFmtId="0" fontId="20" fillId="0" borderId="0" xfId="75" applyFont="1" applyFill="1" applyBorder="1" applyAlignment="1">
      <alignment horizontal="center"/>
    </xf>
    <xf numFmtId="0" fontId="19" fillId="0" borderId="0" xfId="75" applyFont="1"/>
    <xf numFmtId="168" fontId="20" fillId="0" borderId="10" xfId="75" applyNumberFormat="1" applyFont="1" applyFill="1" applyBorder="1"/>
    <xf numFmtId="167" fontId="20" fillId="0" borderId="11" xfId="75" applyNumberFormat="1" applyFont="1" applyFill="1" applyBorder="1"/>
    <xf numFmtId="37" fontId="20" fillId="0" borderId="0" xfId="75" applyNumberFormat="1" applyFont="1" applyFill="1" applyBorder="1"/>
    <xf numFmtId="37" fontId="20" fillId="0" borderId="11" xfId="75" applyNumberFormat="1" applyFont="1" applyBorder="1"/>
    <xf numFmtId="37" fontId="20" fillId="0" borderId="3" xfId="75" applyNumberFormat="1" applyFont="1" applyFill="1" applyBorder="1"/>
    <xf numFmtId="167" fontId="20" fillId="0" borderId="4" xfId="75" applyNumberFormat="1" applyFont="1" applyFill="1" applyBorder="1" applyAlignment="1"/>
    <xf numFmtId="37" fontId="20" fillId="0" borderId="9" xfId="75" applyNumberFormat="1" applyFont="1" applyBorder="1"/>
    <xf numFmtId="37" fontId="20" fillId="0" borderId="7" xfId="13" applyNumberFormat="1" applyFont="1" applyFill="1" applyBorder="1"/>
    <xf numFmtId="167" fontId="20" fillId="0" borderId="9" xfId="75" applyNumberFormat="1" applyFont="1" applyFill="1" applyBorder="1"/>
    <xf numFmtId="167" fontId="20" fillId="0" borderId="11" xfId="75" applyNumberFormat="1" applyFont="1" applyFill="1" applyBorder="1" applyAlignment="1"/>
    <xf numFmtId="37" fontId="20" fillId="0" borderId="9" xfId="13" applyNumberFormat="1" applyFont="1" applyFill="1" applyBorder="1"/>
    <xf numFmtId="37" fontId="20" fillId="0" borderId="5" xfId="13" applyNumberFormat="1" applyFont="1" applyFill="1" applyBorder="1"/>
    <xf numFmtId="37" fontId="20" fillId="0" borderId="8" xfId="13" applyNumberFormat="1" applyFont="1" applyFill="1" applyBorder="1"/>
    <xf numFmtId="168" fontId="20" fillId="0" borderId="8" xfId="13" applyNumberFormat="1" applyFont="1" applyFill="1" applyBorder="1"/>
    <xf numFmtId="168" fontId="20" fillId="0" borderId="5" xfId="75" applyNumberFormat="1" applyFont="1" applyFill="1" applyBorder="1"/>
    <xf numFmtId="167" fontId="20" fillId="0" borderId="1" xfId="75" applyNumberFormat="1" applyFont="1" applyFill="1" applyBorder="1" applyAlignment="1">
      <alignment horizontal="right"/>
    </xf>
    <xf numFmtId="37" fontId="20" fillId="0" borderId="1" xfId="75" applyNumberFormat="1" applyFont="1" applyBorder="1"/>
    <xf numFmtId="37" fontId="20" fillId="0" borderId="8" xfId="75" applyNumberFormat="1" applyFont="1" applyBorder="1"/>
    <xf numFmtId="168" fontId="20" fillId="0" borderId="0" xfId="75" applyNumberFormat="1" applyFont="1" applyFill="1" applyBorder="1"/>
    <xf numFmtId="168" fontId="20" fillId="0" borderId="0" xfId="75" applyNumberFormat="1" applyFont="1" applyFill="1" applyBorder="1" applyAlignment="1"/>
    <xf numFmtId="167" fontId="20" fillId="0" borderId="0" xfId="75" applyNumberFormat="1" applyFont="1" applyFill="1" applyBorder="1" applyAlignment="1"/>
    <xf numFmtId="176" fontId="20" fillId="0" borderId="0" xfId="75" applyNumberFormat="1" applyFont="1"/>
    <xf numFmtId="167" fontId="17" fillId="0" borderId="0" xfId="75" applyNumberFormat="1" applyFont="1" applyBorder="1"/>
    <xf numFmtId="37" fontId="20" fillId="0" borderId="11" xfId="75" applyNumberFormat="1" applyFont="1" applyFill="1" applyBorder="1"/>
    <xf numFmtId="37" fontId="20" fillId="0" borderId="10" xfId="75" applyNumberFormat="1" applyFont="1" applyFill="1" applyBorder="1"/>
    <xf numFmtId="37" fontId="20" fillId="0" borderId="10" xfId="75" applyNumberFormat="1" applyFont="1" applyBorder="1"/>
    <xf numFmtId="37" fontId="20" fillId="0" borderId="4" xfId="75" applyNumberFormat="1" applyFont="1" applyFill="1" applyBorder="1"/>
    <xf numFmtId="181" fontId="20" fillId="0" borderId="3" xfId="13" applyNumberFormat="1" applyFont="1" applyFill="1" applyBorder="1" applyAlignment="1"/>
    <xf numFmtId="181" fontId="20" fillId="0" borderId="0" xfId="13" applyNumberFormat="1" applyFont="1" applyBorder="1" applyAlignment="1"/>
    <xf numFmtId="181" fontId="20" fillId="0" borderId="9" xfId="13" applyNumberFormat="1" applyFont="1" applyFill="1" applyBorder="1"/>
    <xf numFmtId="181" fontId="20" fillId="0" borderId="0" xfId="13" applyNumberFormat="1" applyFont="1" applyFill="1" applyBorder="1"/>
    <xf numFmtId="165" fontId="20" fillId="0" borderId="0" xfId="13" applyFont="1" applyFill="1" applyBorder="1"/>
    <xf numFmtId="0" fontId="20" fillId="0" borderId="9" xfId="75" applyFont="1" applyFill="1" applyBorder="1" applyAlignment="1"/>
    <xf numFmtId="37" fontId="20" fillId="0" borderId="1" xfId="75" applyNumberFormat="1" applyFont="1" applyFill="1" applyBorder="1"/>
    <xf numFmtId="181" fontId="20" fillId="0" borderId="6" xfId="13" applyNumberFormat="1" applyFont="1" applyFill="1" applyBorder="1"/>
    <xf numFmtId="165" fontId="20" fillId="0" borderId="6" xfId="13" applyFont="1" applyFill="1" applyBorder="1"/>
    <xf numFmtId="165" fontId="20" fillId="0" borderId="1" xfId="13" applyFont="1" applyFill="1" applyBorder="1"/>
    <xf numFmtId="168" fontId="20" fillId="0" borderId="12" xfId="75" applyNumberFormat="1" applyFont="1" applyFill="1" applyBorder="1"/>
    <xf numFmtId="167" fontId="20" fillId="0" borderId="14" xfId="75" applyNumberFormat="1" applyFont="1" applyFill="1" applyBorder="1"/>
    <xf numFmtId="37" fontId="20" fillId="0" borderId="13" xfId="75" applyNumberFormat="1" applyFont="1" applyBorder="1"/>
    <xf numFmtId="37" fontId="20" fillId="0" borderId="14" xfId="75" applyNumberFormat="1" applyFont="1" applyBorder="1"/>
    <xf numFmtId="37" fontId="20" fillId="0" borderId="12" xfId="75" applyNumberFormat="1" applyFont="1" applyBorder="1"/>
    <xf numFmtId="181" fontId="20" fillId="0" borderId="13" xfId="13" applyNumberFormat="1" applyFont="1" applyBorder="1" applyAlignment="1"/>
    <xf numFmtId="167" fontId="20" fillId="0" borderId="14" xfId="75" applyNumberFormat="1" applyFont="1" applyFill="1" applyBorder="1" applyAlignment="1"/>
    <xf numFmtId="168" fontId="20" fillId="0" borderId="15" xfId="75" applyNumberFormat="1" applyFont="1" applyBorder="1"/>
    <xf numFmtId="168" fontId="20" fillId="0" borderId="14" xfId="75" applyNumberFormat="1" applyFont="1" applyBorder="1"/>
    <xf numFmtId="167" fontId="20" fillId="0" borderId="1" xfId="75" applyNumberFormat="1" applyFont="1" applyFill="1" applyBorder="1"/>
    <xf numFmtId="37" fontId="20" fillId="0" borderId="0" xfId="75" applyNumberFormat="1" applyFont="1" applyBorder="1"/>
    <xf numFmtId="37" fontId="20" fillId="0" borderId="6" xfId="75" applyNumberFormat="1" applyFont="1" applyBorder="1"/>
    <xf numFmtId="37" fontId="20" fillId="0" borderId="5" xfId="75" applyNumberFormat="1" applyFont="1" applyBorder="1"/>
    <xf numFmtId="181" fontId="20" fillId="0" borderId="6" xfId="13" applyNumberFormat="1" applyFont="1" applyBorder="1" applyAlignment="1"/>
    <xf numFmtId="167" fontId="20" fillId="0" borderId="1" xfId="75" applyNumberFormat="1" applyFont="1" applyFill="1" applyBorder="1" applyAlignment="1"/>
    <xf numFmtId="168" fontId="20" fillId="0" borderId="8" xfId="75" applyNumberFormat="1" applyFont="1" applyBorder="1"/>
    <xf numFmtId="168" fontId="20" fillId="0" borderId="1" xfId="75" applyNumberFormat="1" applyFont="1" applyBorder="1"/>
    <xf numFmtId="168" fontId="15" fillId="0" borderId="0" xfId="75" applyNumberFormat="1" applyBorder="1"/>
    <xf numFmtId="37" fontId="15" fillId="0" borderId="0" xfId="75" applyNumberFormat="1" applyBorder="1" applyAlignment="1"/>
    <xf numFmtId="37" fontId="15" fillId="0" borderId="0" xfId="75" applyNumberFormat="1" applyFill="1" applyBorder="1"/>
    <xf numFmtId="168" fontId="20" fillId="0" borderId="0" xfId="75" applyNumberFormat="1" applyFont="1" applyAlignment="1"/>
    <xf numFmtId="169" fontId="20" fillId="0" borderId="0" xfId="13" applyNumberFormat="1" applyFont="1" applyFill="1" applyBorder="1"/>
    <xf numFmtId="169" fontId="15" fillId="0" borderId="0" xfId="75" applyNumberFormat="1" applyFill="1" applyBorder="1"/>
    <xf numFmtId="3" fontId="15" fillId="0" borderId="0" xfId="75" applyNumberFormat="1" applyBorder="1"/>
    <xf numFmtId="169" fontId="20" fillId="0" borderId="0" xfId="75" applyNumberFormat="1" applyFont="1" applyFill="1" applyBorder="1"/>
    <xf numFmtId="39" fontId="20" fillId="0" borderId="0" xfId="75" applyNumberFormat="1" applyFont="1" applyFill="1" applyBorder="1"/>
    <xf numFmtId="174" fontId="20" fillId="0" borderId="0" xfId="75" applyNumberFormat="1" applyFont="1" applyFill="1" applyBorder="1" applyAlignment="1">
      <alignment horizontal="right"/>
    </xf>
    <xf numFmtId="171" fontId="20" fillId="0" borderId="0" xfId="75" applyNumberFormat="1" applyFont="1" applyFill="1" applyBorder="1"/>
    <xf numFmtId="169" fontId="20" fillId="0" borderId="0" xfId="75" applyNumberFormat="1" applyFont="1" applyFill="1" applyBorder="1" applyAlignment="1">
      <alignment horizontal="right"/>
    </xf>
    <xf numFmtId="170" fontId="20" fillId="0" borderId="0" xfId="16" applyNumberFormat="1" applyFont="1" applyFill="1" applyBorder="1"/>
    <xf numFmtId="172" fontId="20" fillId="0" borderId="0" xfId="75" applyNumberFormat="1" applyFont="1" applyFill="1" applyBorder="1"/>
    <xf numFmtId="166" fontId="20" fillId="0" borderId="0" xfId="16" applyNumberFormat="1" applyFont="1" applyFill="1" applyBorder="1" applyAlignment="1">
      <alignment horizontal="right"/>
    </xf>
    <xf numFmtId="167" fontId="20" fillId="0" borderId="11" xfId="75" applyNumberFormat="1" applyFont="1" applyFill="1" applyBorder="1" applyAlignment="1">
      <alignment horizontal="right"/>
    </xf>
    <xf numFmtId="37" fontId="20" fillId="0" borderId="9" xfId="75" applyNumberFormat="1" applyFont="1" applyFill="1" applyBorder="1"/>
    <xf numFmtId="37" fontId="20" fillId="0" borderId="8" xfId="75" applyNumberFormat="1" applyFont="1" applyFill="1" applyBorder="1"/>
    <xf numFmtId="181" fontId="20" fillId="0" borderId="5" xfId="1" applyNumberFormat="1" applyFont="1" applyFill="1" applyBorder="1" applyAlignment="1">
      <alignment horizontal="right"/>
    </xf>
    <xf numFmtId="168" fontId="20" fillId="0" borderId="0" xfId="75" applyNumberFormat="1" applyFont="1" applyFill="1" applyBorder="1" applyAlignment="1">
      <alignment horizontal="right"/>
    </xf>
    <xf numFmtId="166" fontId="20" fillId="0" borderId="0" xfId="13" applyNumberFormat="1" applyFont="1" applyFill="1" applyBorder="1" applyAlignment="1">
      <alignment horizontal="right"/>
    </xf>
    <xf numFmtId="167" fontId="20" fillId="0" borderId="17" xfId="16" applyNumberFormat="1" applyFont="1" applyFill="1" applyBorder="1" applyAlignment="1">
      <alignment horizontal="right"/>
    </xf>
    <xf numFmtId="37" fontId="20" fillId="0" borderId="7" xfId="75" applyNumberFormat="1" applyFont="1" applyFill="1" applyBorder="1"/>
    <xf numFmtId="166" fontId="20" fillId="0" borderId="11" xfId="13" applyNumberFormat="1" applyFont="1" applyFill="1" applyBorder="1"/>
    <xf numFmtId="166" fontId="20" fillId="0" borderId="0" xfId="13" applyNumberFormat="1" applyFont="1" applyFill="1" applyBorder="1"/>
    <xf numFmtId="166" fontId="20" fillId="0" borderId="10" xfId="13" applyNumberFormat="1" applyFont="1" applyFill="1" applyBorder="1"/>
    <xf numFmtId="166" fontId="20" fillId="0" borderId="0" xfId="13" applyNumberFormat="1" applyFont="1" applyFill="1" applyBorder="1" applyAlignment="1"/>
    <xf numFmtId="166" fontId="20" fillId="0" borderId="0" xfId="75" applyNumberFormat="1" applyFont="1"/>
    <xf numFmtId="166" fontId="20" fillId="0" borderId="9" xfId="13" applyNumberFormat="1" applyFont="1" applyFill="1" applyBorder="1" applyAlignment="1">
      <alignment horizontal="right"/>
    </xf>
    <xf numFmtId="166" fontId="20" fillId="0" borderId="11" xfId="13" applyNumberFormat="1" applyFont="1" applyFill="1" applyBorder="1" applyAlignment="1">
      <alignment horizontal="right"/>
    </xf>
    <xf numFmtId="166" fontId="20" fillId="0" borderId="9" xfId="75" applyNumberFormat="1" applyFont="1" applyBorder="1" applyAlignment="1">
      <alignment horizontal="right"/>
    </xf>
    <xf numFmtId="166" fontId="20" fillId="0" borderId="0" xfId="75" applyNumberFormat="1" applyFont="1" applyBorder="1" applyAlignment="1">
      <alignment horizontal="right"/>
    </xf>
    <xf numFmtId="166" fontId="20" fillId="0" borderId="9" xfId="13" applyNumberFormat="1" applyFont="1" applyFill="1" applyBorder="1"/>
    <xf numFmtId="166" fontId="20" fillId="0" borderId="0" xfId="13" applyNumberFormat="1" applyFont="1" applyBorder="1"/>
    <xf numFmtId="166" fontId="20" fillId="0" borderId="10" xfId="13" applyNumberFormat="1" applyFont="1" applyBorder="1"/>
    <xf numFmtId="166" fontId="20" fillId="0" borderId="11" xfId="13" applyNumberFormat="1" applyFont="1" applyBorder="1"/>
    <xf numFmtId="166" fontId="20" fillId="0" borderId="0" xfId="13" applyNumberFormat="1" applyFont="1"/>
    <xf numFmtId="166" fontId="20" fillId="0" borderId="9" xfId="13" applyNumberFormat="1" applyFont="1" applyBorder="1" applyAlignment="1">
      <alignment horizontal="right"/>
    </xf>
    <xf numFmtId="166" fontId="20" fillId="0" borderId="11" xfId="75" applyNumberFormat="1" applyFont="1" applyBorder="1" applyAlignment="1">
      <alignment horizontal="right"/>
    </xf>
    <xf numFmtId="166" fontId="20" fillId="0" borderId="0" xfId="75" applyNumberFormat="1" applyFont="1" applyBorder="1"/>
    <xf numFmtId="166" fontId="20" fillId="0" borderId="10" xfId="75" applyNumberFormat="1" applyFont="1" applyBorder="1" applyAlignment="1">
      <alignment horizontal="right"/>
    </xf>
    <xf numFmtId="166" fontId="20" fillId="0" borderId="10" xfId="75" applyNumberFormat="1" applyFont="1" applyBorder="1"/>
    <xf numFmtId="166" fontId="20" fillId="0" borderId="11" xfId="75" applyNumberFormat="1" applyFont="1" applyBorder="1"/>
    <xf numFmtId="166" fontId="20" fillId="0" borderId="0" xfId="75" applyNumberFormat="1" applyFont="1" applyBorder="1" applyAlignment="1"/>
    <xf numFmtId="166" fontId="20" fillId="0" borderId="9" xfId="75" applyNumberFormat="1" applyFont="1" applyFill="1" applyBorder="1" applyAlignment="1">
      <alignment horizontal="right"/>
    </xf>
    <xf numFmtId="166" fontId="20" fillId="0" borderId="6" xfId="13" applyNumberFormat="1" applyFont="1" applyFill="1" applyBorder="1" applyAlignment="1">
      <alignment horizontal="right"/>
    </xf>
    <xf numFmtId="166" fontId="20" fillId="0" borderId="1" xfId="13" applyNumberFormat="1" applyFont="1" applyFill="1" applyBorder="1" applyAlignment="1">
      <alignment horizontal="right"/>
    </xf>
    <xf numFmtId="166" fontId="20" fillId="0" borderId="5" xfId="75" applyNumberFormat="1" applyFont="1" applyBorder="1" applyAlignment="1">
      <alignment horizontal="right"/>
    </xf>
    <xf numFmtId="183" fontId="0" fillId="0" borderId="0" xfId="0" applyBorder="1" applyAlignment="1">
      <alignment horizontal="left" indent="2"/>
    </xf>
    <xf numFmtId="183" fontId="15" fillId="0" borderId="10" xfId="0" applyFont="1" applyBorder="1" applyAlignment="1">
      <alignment horizontal="left" indent="2"/>
    </xf>
    <xf numFmtId="37" fontId="20" fillId="0" borderId="9" xfId="13" applyNumberFormat="1" applyFont="1" applyFill="1" applyBorder="1" applyAlignment="1">
      <alignment horizontal="center"/>
    </xf>
    <xf numFmtId="167" fontId="20" fillId="0" borderId="1" xfId="7" applyNumberFormat="1" applyFont="1" applyFill="1" applyBorder="1" applyAlignment="1"/>
    <xf numFmtId="166" fontId="20" fillId="0" borderId="6" xfId="13" applyNumberFormat="1" applyFont="1" applyFill="1" applyBorder="1"/>
    <xf numFmtId="166" fontId="20" fillId="0" borderId="6" xfId="75" applyNumberFormat="1" applyFont="1" applyFill="1" applyBorder="1"/>
    <xf numFmtId="166" fontId="20" fillId="0" borderId="14" xfId="13" applyNumberFormat="1" applyFont="1" applyFill="1" applyBorder="1"/>
    <xf numFmtId="166" fontId="20" fillId="0" borderId="13" xfId="13" applyNumberFormat="1" applyFont="1" applyFill="1" applyBorder="1"/>
    <xf numFmtId="166" fontId="20" fillId="0" borderId="12" xfId="13" applyNumberFormat="1" applyFont="1" applyFill="1" applyBorder="1"/>
    <xf numFmtId="166" fontId="20" fillId="0" borderId="3" xfId="16" applyNumberFormat="1" applyFont="1" applyFill="1" applyBorder="1" applyAlignment="1">
      <alignment horizontal="right"/>
    </xf>
    <xf numFmtId="166" fontId="20" fillId="0" borderId="4" xfId="13" applyNumberFormat="1" applyFont="1" applyFill="1" applyBorder="1"/>
    <xf numFmtId="166" fontId="20" fillId="0" borderId="6" xfId="16" applyNumberFormat="1" applyFont="1" applyFill="1" applyBorder="1" applyAlignment="1">
      <alignment horizontal="right"/>
    </xf>
    <xf numFmtId="166" fontId="20" fillId="0" borderId="1" xfId="13" applyNumberFormat="1" applyFont="1" applyFill="1" applyBorder="1"/>
    <xf numFmtId="166" fontId="20" fillId="0" borderId="3" xfId="13" applyNumberFormat="1" applyFont="1" applyFill="1" applyBorder="1"/>
    <xf numFmtId="166" fontId="20" fillId="0" borderId="2" xfId="13" applyNumberFormat="1" applyFont="1" applyFill="1" applyBorder="1"/>
    <xf numFmtId="166" fontId="20" fillId="0" borderId="14" xfId="13" applyNumberFormat="1" applyFont="1" applyFill="1" applyBorder="1" applyAlignment="1">
      <alignment horizontal="right"/>
    </xf>
    <xf numFmtId="166" fontId="20" fillId="0" borderId="13" xfId="13" applyNumberFormat="1" applyFont="1" applyFill="1" applyBorder="1" applyAlignment="1">
      <alignment horizontal="right"/>
    </xf>
    <xf numFmtId="166" fontId="20" fillId="0" borderId="0" xfId="13" applyNumberFormat="1" applyFont="1" applyFill="1" applyBorder="1" applyAlignment="1">
      <alignment horizontal="center"/>
    </xf>
    <xf numFmtId="166" fontId="20" fillId="0" borderId="11" xfId="13" applyNumberFormat="1" applyFont="1" applyFill="1" applyBorder="1" applyAlignment="1">
      <alignment horizontal="center"/>
    </xf>
    <xf numFmtId="166" fontId="20" fillId="0" borderId="19" xfId="13" applyNumberFormat="1" applyFont="1" applyFill="1" applyBorder="1" applyAlignment="1">
      <alignment horizontal="right"/>
    </xf>
    <xf numFmtId="166" fontId="20" fillId="0" borderId="17" xfId="13" applyNumberFormat="1" applyFont="1" applyFill="1" applyBorder="1" applyAlignment="1">
      <alignment horizontal="right"/>
    </xf>
    <xf numFmtId="166" fontId="20" fillId="0" borderId="19" xfId="13" applyNumberFormat="1" applyFont="1" applyFill="1" applyBorder="1" applyAlignment="1">
      <alignment horizontal="center"/>
    </xf>
    <xf numFmtId="166" fontId="20" fillId="0" borderId="17" xfId="13" applyNumberFormat="1" applyFont="1" applyFill="1" applyBorder="1" applyAlignment="1">
      <alignment horizontal="center"/>
    </xf>
    <xf numFmtId="183" fontId="0" fillId="0" borderId="0" xfId="0" applyFill="1" applyAlignment="1">
      <alignment wrapText="1"/>
    </xf>
    <xf numFmtId="183" fontId="0" fillId="0" borderId="0" xfId="0" applyFill="1" applyAlignment="1">
      <alignment horizontal="center"/>
    </xf>
    <xf numFmtId="181" fontId="20" fillId="0" borderId="6" xfId="1" applyNumberFormat="1" applyFont="1" applyFill="1" applyBorder="1"/>
    <xf numFmtId="181" fontId="20" fillId="0" borderId="2" xfId="1" applyNumberFormat="1" applyFont="1" applyFill="1" applyBorder="1" applyAlignment="1">
      <alignment horizontal="right"/>
    </xf>
    <xf numFmtId="181" fontId="20" fillId="0" borderId="13" xfId="1" applyNumberFormat="1" applyFont="1" applyFill="1" applyBorder="1" applyAlignment="1">
      <alignment horizontal="right"/>
    </xf>
    <xf numFmtId="181" fontId="20" fillId="0" borderId="3" xfId="1" applyNumberFormat="1" applyFont="1" applyFill="1" applyBorder="1" applyAlignment="1"/>
    <xf numFmtId="181" fontId="20" fillId="0" borderId="6" xfId="1" applyNumberFormat="1" applyFont="1" applyFill="1" applyBorder="1" applyAlignment="1"/>
    <xf numFmtId="183" fontId="0" fillId="0" borderId="0" xfId="0" applyAlignment="1">
      <alignment wrapText="1"/>
    </xf>
    <xf numFmtId="183" fontId="30" fillId="0" borderId="0" xfId="0" applyFont="1" applyAlignment="1">
      <alignment horizontal="center"/>
    </xf>
    <xf numFmtId="183" fontId="15" fillId="0" borderId="0" xfId="0" applyFont="1" applyFill="1"/>
    <xf numFmtId="168" fontId="20" fillId="0" borderId="6" xfId="75" applyNumberFormat="1" applyFont="1" applyBorder="1" applyAlignment="1">
      <alignment horizontal="right"/>
    </xf>
    <xf numFmtId="166" fontId="20" fillId="0" borderId="6" xfId="75" applyNumberFormat="1" applyFont="1" applyBorder="1" applyAlignment="1">
      <alignment horizontal="right"/>
    </xf>
    <xf numFmtId="166" fontId="20" fillId="0" borderId="1" xfId="75" applyNumberFormat="1" applyFont="1" applyBorder="1" applyAlignment="1">
      <alignment horizontal="right"/>
    </xf>
    <xf numFmtId="37" fontId="15" fillId="0" borderId="0" xfId="75" applyNumberFormat="1"/>
    <xf numFmtId="166" fontId="15" fillId="0" borderId="0" xfId="75" applyNumberFormat="1" applyBorder="1"/>
    <xf numFmtId="170" fontId="15" fillId="0" borderId="0" xfId="7" applyNumberFormat="1" applyBorder="1"/>
    <xf numFmtId="183" fontId="0" fillId="0" borderId="0" xfId="0" applyFill="1" applyAlignment="1">
      <alignment wrapText="1"/>
    </xf>
    <xf numFmtId="183" fontId="32" fillId="0" borderId="0" xfId="0" applyFont="1" applyAlignment="1">
      <alignment horizontal="center" wrapText="1"/>
    </xf>
    <xf numFmtId="183" fontId="0" fillId="0" borderId="0" xfId="0" applyAlignment="1">
      <alignment wrapText="1"/>
    </xf>
    <xf numFmtId="183" fontId="15" fillId="0" borderId="0" xfId="0" applyFont="1" applyFill="1" applyAlignment="1">
      <alignment horizontal="left"/>
    </xf>
    <xf numFmtId="183" fontId="0" fillId="0" borderId="0" xfId="0" applyAlignment="1">
      <alignment horizontal="left"/>
    </xf>
    <xf numFmtId="183" fontId="38" fillId="0" borderId="0" xfId="14" applyFont="1" applyFill="1" applyAlignment="1">
      <alignment horizontal="left"/>
    </xf>
    <xf numFmtId="167" fontId="20" fillId="0" borderId="9" xfId="16" applyNumberFormat="1" applyFont="1" applyFill="1" applyBorder="1" applyAlignment="1">
      <alignment horizontal="left"/>
    </xf>
    <xf numFmtId="168" fontId="20" fillId="0" borderId="8" xfId="75" applyNumberFormat="1" applyFont="1" applyBorder="1" applyAlignment="1">
      <alignment horizontal="right"/>
    </xf>
    <xf numFmtId="0" fontId="26" fillId="0" borderId="0" xfId="75" applyFont="1" applyAlignment="1">
      <alignment wrapText="1"/>
    </xf>
    <xf numFmtId="183" fontId="0" fillId="0" borderId="0" xfId="0" applyBorder="1" applyAlignment="1">
      <alignment horizontal="left" indent="2"/>
    </xf>
    <xf numFmtId="168" fontId="20" fillId="0" borderId="5" xfId="158" applyNumberFormat="1" applyFont="1" applyFill="1" applyBorder="1"/>
    <xf numFmtId="167" fontId="20" fillId="0" borderId="1" xfId="158" applyNumberFormat="1" applyFont="1" applyFill="1" applyBorder="1"/>
    <xf numFmtId="183" fontId="15" fillId="0" borderId="9" xfId="158" applyNumberFormat="1" applyBorder="1"/>
    <xf numFmtId="168" fontId="20" fillId="0" borderId="13" xfId="158" applyNumberFormat="1" applyFont="1" applyBorder="1"/>
    <xf numFmtId="168" fontId="20" fillId="0" borderId="1" xfId="158" applyNumberFormat="1" applyFont="1" applyBorder="1"/>
    <xf numFmtId="37" fontId="20" fillId="0" borderId="5" xfId="158" applyNumberFormat="1" applyFont="1" applyBorder="1"/>
    <xf numFmtId="37" fontId="20" fillId="0" borderId="6" xfId="158" applyNumberFormat="1" applyFont="1" applyBorder="1"/>
    <xf numFmtId="37" fontId="20" fillId="0" borderId="1" xfId="158" applyNumberFormat="1" applyFont="1" applyBorder="1"/>
    <xf numFmtId="37" fontId="20" fillId="0" borderId="5" xfId="158" applyNumberFormat="1" applyFont="1" applyBorder="1" applyAlignment="1">
      <alignment horizontal="center"/>
    </xf>
    <xf numFmtId="37" fontId="20" fillId="0" borderId="6" xfId="158" applyNumberFormat="1" applyFont="1" applyBorder="1" applyAlignment="1">
      <alignment horizontal="center"/>
    </xf>
    <xf numFmtId="37" fontId="20" fillId="0" borderId="1" xfId="158" applyNumberFormat="1" applyFont="1" applyBorder="1" applyAlignment="1">
      <alignment horizontal="center"/>
    </xf>
    <xf numFmtId="37" fontId="20" fillId="0" borderId="0" xfId="158" applyNumberFormat="1" applyFont="1" applyBorder="1" applyAlignment="1">
      <alignment horizontal="center"/>
    </xf>
    <xf numFmtId="183" fontId="15" fillId="0" borderId="0" xfId="158" applyNumberFormat="1" applyFill="1" applyBorder="1" applyAlignment="1">
      <alignment horizontal="center"/>
    </xf>
    <xf numFmtId="167" fontId="20" fillId="0" borderId="1" xfId="158" applyNumberFormat="1" applyFont="1" applyFill="1" applyBorder="1" applyAlignment="1">
      <alignment horizontal="right"/>
    </xf>
    <xf numFmtId="183" fontId="15" fillId="0" borderId="0" xfId="158" applyNumberFormat="1" applyAlignment="1">
      <alignment horizontal="center"/>
    </xf>
    <xf numFmtId="37" fontId="20" fillId="0" borderId="8" xfId="158" applyNumberFormat="1" applyFont="1" applyBorder="1" applyAlignment="1">
      <alignment horizontal="center"/>
    </xf>
    <xf numFmtId="168" fontId="20" fillId="0" borderId="0" xfId="158" applyNumberFormat="1" applyFont="1" applyBorder="1"/>
    <xf numFmtId="167" fontId="20" fillId="0" borderId="0" xfId="158" applyNumberFormat="1" applyFont="1"/>
    <xf numFmtId="183" fontId="15" fillId="0" borderId="0" xfId="158" applyNumberFormat="1"/>
    <xf numFmtId="0" fontId="26" fillId="0" borderId="10" xfId="75" applyFont="1" applyFill="1" applyBorder="1" applyAlignment="1">
      <alignment horizontal="center"/>
    </xf>
    <xf numFmtId="166" fontId="20" fillId="0" borderId="10" xfId="75" applyNumberFormat="1" applyFont="1" applyBorder="1" applyAlignment="1">
      <alignment horizontal="center"/>
    </xf>
    <xf numFmtId="183" fontId="15" fillId="0" borderId="10" xfId="158" applyNumberFormat="1" applyBorder="1" applyAlignment="1">
      <alignment horizontal="center"/>
    </xf>
    <xf numFmtId="183" fontId="19" fillId="0" borderId="3" xfId="0" applyFont="1" applyFill="1" applyBorder="1" applyAlignment="1">
      <alignment horizontal="center"/>
    </xf>
    <xf numFmtId="183" fontId="19" fillId="0" borderId="4" xfId="0" applyFont="1" applyFill="1" applyBorder="1" applyAlignment="1">
      <alignment horizontal="center"/>
    </xf>
    <xf numFmtId="0" fontId="20" fillId="0" borderId="11" xfId="75" applyFont="1" applyBorder="1" applyAlignment="1"/>
    <xf numFmtId="0" fontId="19" fillId="0" borderId="3" xfId="75" applyFont="1" applyFill="1" applyBorder="1" applyAlignment="1">
      <alignment horizontal="center"/>
    </xf>
    <xf numFmtId="0" fontId="19" fillId="0" borderId="4" xfId="75" applyFont="1" applyFill="1" applyBorder="1" applyAlignment="1">
      <alignment horizontal="center"/>
    </xf>
    <xf numFmtId="183" fontId="19" fillId="0" borderId="3" xfId="29" applyFont="1" applyFill="1" applyBorder="1" applyAlignment="1">
      <alignment horizontal="center"/>
    </xf>
    <xf numFmtId="183" fontId="15" fillId="0" borderId="3" xfId="29" applyBorder="1"/>
    <xf numFmtId="183" fontId="15" fillId="0" borderId="4" xfId="29" applyBorder="1"/>
    <xf numFmtId="0" fontId="19" fillId="0" borderId="7" xfId="75" applyFont="1" applyFill="1" applyBorder="1" applyAlignment="1">
      <alignment horizontal="center"/>
    </xf>
    <xf numFmtId="183" fontId="15" fillId="0" borderId="10" xfId="0" applyFont="1" applyBorder="1" applyAlignment="1">
      <alignment horizontal="left" indent="2"/>
    </xf>
    <xf numFmtId="187" fontId="39" fillId="0" borderId="0" xfId="0" applyNumberFormat="1" applyFont="1" applyAlignment="1">
      <alignment horizontal="center" vertical="center"/>
    </xf>
    <xf numFmtId="183" fontId="39" fillId="0" borderId="0" xfId="0" applyFont="1" applyFill="1" applyAlignment="1"/>
    <xf numFmtId="183" fontId="38" fillId="0" borderId="0" xfId="14" applyFont="1" applyFill="1" applyAlignment="1">
      <alignment vertical="center"/>
    </xf>
    <xf numFmtId="183" fontId="38" fillId="0" borderId="0" xfId="14" applyFont="1" applyAlignment="1"/>
    <xf numFmtId="183" fontId="15" fillId="0" borderId="0" xfId="14" applyAlignment="1"/>
    <xf numFmtId="183" fontId="39" fillId="0" borderId="0" xfId="14" applyFont="1" applyFill="1" applyAlignment="1"/>
    <xf numFmtId="183" fontId="15" fillId="0" borderId="0" xfId="14" applyFill="1" applyAlignment="1"/>
    <xf numFmtId="183" fontId="39" fillId="0" borderId="0" xfId="0" applyFont="1" applyAlignment="1"/>
    <xf numFmtId="175" fontId="39" fillId="0" borderId="0" xfId="4" applyNumberFormat="1" applyFont="1" applyAlignment="1"/>
    <xf numFmtId="183" fontId="36" fillId="0" borderId="0" xfId="0" applyFont="1" applyFill="1" applyBorder="1" applyAlignment="1"/>
    <xf numFmtId="183" fontId="36" fillId="0" borderId="0" xfId="0" applyFont="1" applyFill="1" applyAlignment="1"/>
    <xf numFmtId="183" fontId="20" fillId="0" borderId="0" xfId="0" applyFont="1" applyFill="1" applyAlignment="1">
      <alignment horizontal="left"/>
    </xf>
    <xf numFmtId="183" fontId="15" fillId="0" borderId="0" xfId="0" applyFont="1" applyFill="1" applyAlignment="1"/>
    <xf numFmtId="183" fontId="20" fillId="0" borderId="0" xfId="0" applyFont="1" applyFill="1" applyAlignment="1"/>
    <xf numFmtId="175" fontId="39" fillId="0" borderId="0" xfId="4" applyNumberFormat="1" applyFont="1" applyFill="1" applyAlignment="1"/>
    <xf numFmtId="187" fontId="38" fillId="0" borderId="0" xfId="4" applyNumberFormat="1" applyFont="1" applyFill="1" applyBorder="1" applyAlignment="1">
      <alignment horizontal="right"/>
    </xf>
    <xf numFmtId="187" fontId="39" fillId="0" borderId="0" xfId="0" applyNumberFormat="1" applyFont="1" applyAlignment="1">
      <alignment horizontal="right"/>
    </xf>
    <xf numFmtId="183" fontId="39" fillId="0" borderId="0" xfId="0" applyFont="1" applyAlignment="1">
      <alignment horizontal="right"/>
    </xf>
    <xf numFmtId="187" fontId="38" fillId="0" borderId="0" xfId="4" quotePrefix="1" applyNumberFormat="1" applyFont="1" applyFill="1" applyBorder="1" applyAlignment="1">
      <alignment horizontal="right"/>
    </xf>
    <xf numFmtId="183" fontId="118" fillId="0" borderId="0" xfId="0" applyFont="1" applyAlignment="1"/>
    <xf numFmtId="183" fontId="119" fillId="0" borderId="0" xfId="0" applyFont="1" applyAlignment="1"/>
    <xf numFmtId="183" fontId="0" fillId="0" borderId="0" xfId="0" applyFill="1" applyProtection="1">
      <protection locked="0"/>
    </xf>
    <xf numFmtId="183" fontId="0" fillId="0" borderId="0" xfId="0" applyFill="1" applyBorder="1" applyProtection="1">
      <protection locked="0"/>
    </xf>
    <xf numFmtId="168" fontId="25" fillId="0" borderId="0" xfId="1" applyNumberFormat="1" applyFont="1" applyFill="1" applyBorder="1" applyProtection="1">
      <protection locked="0"/>
    </xf>
    <xf numFmtId="183" fontId="18" fillId="0" borderId="0" xfId="0" applyFont="1" applyFill="1" applyBorder="1" applyAlignment="1" applyProtection="1">
      <alignment horizontal="left"/>
      <protection locked="0"/>
    </xf>
    <xf numFmtId="183" fontId="20" fillId="0" borderId="0" xfId="0" applyFont="1" applyFill="1" applyBorder="1" applyProtection="1">
      <protection locked="0"/>
    </xf>
    <xf numFmtId="183" fontId="26" fillId="0" borderId="9" xfId="0" applyFont="1" applyFill="1" applyBorder="1" applyAlignment="1" applyProtection="1">
      <alignment horizontal="center"/>
      <protection locked="0"/>
    </xf>
    <xf numFmtId="183" fontId="0" fillId="0" borderId="2" xfId="0" applyFill="1" applyBorder="1" applyProtection="1">
      <protection locked="0"/>
    </xf>
    <xf numFmtId="183" fontId="0" fillId="0" borderId="3" xfId="0" applyFill="1" applyBorder="1" applyProtection="1">
      <protection locked="0"/>
    </xf>
    <xf numFmtId="183" fontId="0" fillId="0" borderId="9" xfId="0" applyFill="1" applyBorder="1" applyProtection="1">
      <protection locked="0"/>
    </xf>
    <xf numFmtId="183" fontId="0" fillId="0" borderId="10" xfId="0" applyFill="1" applyBorder="1" applyProtection="1">
      <protection locked="0"/>
    </xf>
    <xf numFmtId="183" fontId="27" fillId="0" borderId="9" xfId="0" applyFont="1" applyFill="1" applyBorder="1" applyAlignment="1" applyProtection="1">
      <alignment horizontal="center"/>
      <protection locked="0"/>
    </xf>
    <xf numFmtId="183" fontId="26" fillId="0" borderId="6" xfId="0" applyFont="1" applyFill="1" applyBorder="1" applyAlignment="1" applyProtection="1">
      <alignment horizontal="center"/>
      <protection locked="0"/>
    </xf>
    <xf numFmtId="167" fontId="20" fillId="0" borderId="0" xfId="7" applyNumberFormat="1" applyFont="1" applyFill="1" applyBorder="1" applyAlignment="1" applyProtection="1">
      <alignment horizontal="right"/>
      <protection locked="0"/>
    </xf>
    <xf numFmtId="167" fontId="25" fillId="0" borderId="9" xfId="7" applyNumberFormat="1" applyFont="1" applyFill="1" applyBorder="1" applyAlignment="1" applyProtection="1">
      <alignment horizontal="right"/>
      <protection locked="0"/>
    </xf>
    <xf numFmtId="183" fontId="25" fillId="0" borderId="9" xfId="0" applyFont="1" applyFill="1" applyBorder="1" applyProtection="1">
      <protection locked="0"/>
    </xf>
    <xf numFmtId="167" fontId="25" fillId="0" borderId="0" xfId="7" applyNumberFormat="1" applyFont="1" applyFill="1" applyBorder="1" applyAlignment="1" applyProtection="1">
      <alignment horizontal="right"/>
      <protection locked="0"/>
    </xf>
    <xf numFmtId="183" fontId="25" fillId="0" borderId="0" xfId="0" applyFont="1" applyFill="1" applyBorder="1" applyProtection="1">
      <protection locked="0"/>
    </xf>
    <xf numFmtId="168" fontId="20" fillId="0" borderId="0" xfId="1" applyNumberFormat="1" applyFont="1" applyFill="1" applyBorder="1" applyProtection="1">
      <protection locked="0"/>
    </xf>
    <xf numFmtId="168" fontId="20" fillId="0" borderId="0" xfId="0" applyNumberFormat="1" applyFont="1" applyFill="1" applyBorder="1" applyProtection="1">
      <protection locked="0"/>
    </xf>
    <xf numFmtId="168" fontId="20" fillId="0" borderId="0" xfId="1" applyNumberFormat="1" applyFont="1" applyFill="1" applyBorder="1" applyAlignment="1" applyProtection="1">
      <alignment horizontal="right"/>
      <protection locked="0"/>
    </xf>
    <xf numFmtId="167" fontId="25" fillId="0" borderId="9" xfId="7" applyNumberFormat="1" applyFont="1" applyFill="1" applyBorder="1" applyAlignment="1" applyProtection="1">
      <alignment horizontal="left"/>
      <protection locked="0"/>
    </xf>
    <xf numFmtId="169" fontId="25" fillId="0" borderId="0" xfId="0" applyNumberFormat="1" applyFont="1" applyFill="1" applyBorder="1" applyProtection="1">
      <protection locked="0"/>
    </xf>
    <xf numFmtId="169" fontId="20" fillId="0" borderId="0" xfId="0" applyNumberFormat="1" applyFont="1" applyFill="1" applyBorder="1" applyProtection="1">
      <protection locked="0"/>
    </xf>
    <xf numFmtId="167" fontId="20" fillId="0" borderId="9" xfId="7" applyNumberFormat="1" applyFont="1" applyFill="1" applyBorder="1" applyAlignment="1" applyProtection="1">
      <alignment horizontal="right"/>
      <protection locked="0"/>
    </xf>
    <xf numFmtId="183" fontId="20" fillId="0" borderId="9" xfId="0" applyFont="1" applyFill="1" applyBorder="1" applyProtection="1">
      <protection locked="0"/>
    </xf>
    <xf numFmtId="167" fontId="20" fillId="0" borderId="0" xfId="7" applyNumberFormat="1" applyFont="1" applyFill="1" applyBorder="1" applyProtection="1">
      <protection locked="0"/>
    </xf>
    <xf numFmtId="183" fontId="15" fillId="0" borderId="0" xfId="0" applyFont="1" applyFill="1" applyProtection="1">
      <protection locked="0"/>
    </xf>
    <xf numFmtId="165" fontId="15" fillId="0" borderId="0" xfId="1" applyFont="1" applyFill="1" applyProtection="1">
      <protection locked="0"/>
    </xf>
    <xf numFmtId="169" fontId="25" fillId="0" borderId="0" xfId="1" applyNumberFormat="1" applyFont="1" applyFill="1" applyBorder="1" applyAlignment="1" applyProtection="1">
      <alignment horizontal="right"/>
      <protection locked="0"/>
    </xf>
    <xf numFmtId="181" fontId="20" fillId="0" borderId="0" xfId="1" applyNumberFormat="1" applyFont="1" applyFill="1" applyBorder="1" applyAlignment="1" applyProtection="1">
      <alignment horizontal="center"/>
      <protection locked="0"/>
    </xf>
    <xf numFmtId="183" fontId="25" fillId="0" borderId="9" xfId="0" applyFont="1" applyFill="1" applyBorder="1" applyAlignment="1" applyProtection="1">
      <alignment horizontal="center"/>
      <protection locked="0"/>
    </xf>
    <xf numFmtId="167" fontId="20" fillId="0" borderId="0" xfId="0" applyNumberFormat="1" applyFont="1" applyFill="1" applyBorder="1" applyProtection="1">
      <protection locked="0"/>
    </xf>
    <xf numFmtId="170" fontId="20" fillId="0" borderId="0" xfId="7" applyNumberFormat="1" applyFont="1" applyFill="1" applyBorder="1" applyAlignment="1" applyProtection="1">
      <alignment horizontal="right"/>
      <protection locked="0"/>
    </xf>
    <xf numFmtId="167" fontId="20" fillId="0" borderId="9" xfId="7" applyNumberFormat="1" applyFont="1" applyFill="1" applyBorder="1" applyProtection="1">
      <protection locked="0"/>
    </xf>
    <xf numFmtId="167" fontId="25" fillId="0" borderId="0" xfId="0" applyNumberFormat="1" applyFont="1" applyFill="1" applyBorder="1" applyProtection="1">
      <protection locked="0"/>
    </xf>
    <xf numFmtId="167" fontId="20" fillId="0" borderId="9" xfId="0" applyNumberFormat="1" applyFont="1" applyFill="1" applyBorder="1" applyProtection="1">
      <protection locked="0"/>
    </xf>
    <xf numFmtId="167" fontId="25" fillId="0" borderId="9" xfId="0" applyNumberFormat="1" applyFont="1" applyFill="1" applyBorder="1" applyProtection="1">
      <protection locked="0"/>
    </xf>
    <xf numFmtId="165" fontId="0" fillId="0" borderId="0" xfId="1" applyFont="1" applyFill="1" applyProtection="1">
      <protection locked="0"/>
    </xf>
    <xf numFmtId="172" fontId="20" fillId="0" borderId="0" xfId="0" applyNumberFormat="1" applyFont="1" applyFill="1" applyBorder="1" applyProtection="1">
      <protection locked="0"/>
    </xf>
    <xf numFmtId="183" fontId="25" fillId="0" borderId="5" xfId="0" applyFont="1" applyFill="1" applyBorder="1" applyProtection="1">
      <protection locked="0"/>
    </xf>
    <xf numFmtId="183" fontId="25" fillId="0" borderId="6" xfId="0" applyFont="1" applyFill="1" applyBorder="1" applyProtection="1">
      <protection locked="0"/>
    </xf>
    <xf numFmtId="183" fontId="48" fillId="0" borderId="9" xfId="0" applyFont="1" applyFill="1" applyBorder="1" applyAlignment="1" applyProtection="1">
      <alignment horizontal="center"/>
      <protection locked="0"/>
    </xf>
    <xf numFmtId="183" fontId="48" fillId="0" borderId="2" xfId="0" applyFont="1" applyFill="1" applyBorder="1" applyAlignment="1" applyProtection="1">
      <alignment horizontal="center"/>
      <protection locked="0"/>
    </xf>
    <xf numFmtId="183" fontId="25" fillId="0" borderId="10" xfId="0" applyFont="1" applyFill="1" applyBorder="1" applyProtection="1">
      <protection locked="0"/>
    </xf>
    <xf numFmtId="167" fontId="25" fillId="0" borderId="10" xfId="0" applyNumberFormat="1" applyFont="1" applyFill="1" applyBorder="1" applyProtection="1">
      <protection locked="0"/>
    </xf>
    <xf numFmtId="39" fontId="25" fillId="0" borderId="10" xfId="0" applyNumberFormat="1" applyFont="1" applyFill="1" applyBorder="1" applyProtection="1">
      <protection locked="0"/>
    </xf>
    <xf numFmtId="167" fontId="25" fillId="0" borderId="10" xfId="7" applyNumberFormat="1" applyFont="1" applyFill="1" applyBorder="1" applyAlignment="1" applyProtection="1">
      <alignment horizontal="right"/>
      <protection locked="0"/>
    </xf>
    <xf numFmtId="183" fontId="0" fillId="0" borderId="0" xfId="0" applyFill="1" applyBorder="1" applyAlignment="1" applyProtection="1">
      <protection locked="0"/>
    </xf>
    <xf numFmtId="169" fontId="20" fillId="0" borderId="0" xfId="1" applyNumberFormat="1" applyFont="1" applyFill="1" applyBorder="1" applyProtection="1">
      <protection locked="0"/>
    </xf>
    <xf numFmtId="183" fontId="0" fillId="0" borderId="0" xfId="0" applyFill="1" applyProtection="1"/>
    <xf numFmtId="183" fontId="0" fillId="0" borderId="0" xfId="0" applyFill="1" applyBorder="1" applyProtection="1"/>
    <xf numFmtId="183" fontId="17" fillId="0" borderId="0" xfId="0" applyFont="1" applyFill="1" applyBorder="1" applyAlignment="1" applyProtection="1">
      <alignment horizontal="left"/>
    </xf>
    <xf numFmtId="183" fontId="18" fillId="0" borderId="0" xfId="0" applyFont="1" applyFill="1" applyBorder="1" applyAlignment="1" applyProtection="1">
      <alignment horizontal="left"/>
    </xf>
    <xf numFmtId="183" fontId="45" fillId="0" borderId="0" xfId="0" applyFont="1" applyFill="1" applyBorder="1" applyAlignment="1" applyProtection="1">
      <alignment horizontal="left"/>
    </xf>
    <xf numFmtId="183" fontId="19" fillId="0" borderId="0" xfId="0" applyFont="1" applyFill="1" applyBorder="1" applyProtection="1"/>
    <xf numFmtId="183" fontId="20" fillId="0" borderId="0" xfId="0" applyFont="1" applyFill="1" applyBorder="1" applyProtection="1"/>
    <xf numFmtId="183" fontId="26" fillId="0" borderId="0" xfId="0" applyFont="1" applyFill="1" applyBorder="1" applyProtection="1"/>
    <xf numFmtId="183" fontId="22" fillId="0" borderId="0" xfId="0" applyFont="1" applyFill="1" applyBorder="1" applyProtection="1"/>
    <xf numFmtId="183" fontId="0" fillId="0" borderId="10" xfId="0" applyFill="1" applyBorder="1" applyProtection="1"/>
    <xf numFmtId="183" fontId="0" fillId="0" borderId="11" xfId="0" applyFill="1" applyBorder="1" applyProtection="1"/>
    <xf numFmtId="168" fontId="25" fillId="0" borderId="10" xfId="1" applyNumberFormat="1" applyFont="1" applyFill="1" applyBorder="1" applyProtection="1"/>
    <xf numFmtId="167" fontId="20" fillId="0" borderId="0" xfId="7" applyNumberFormat="1" applyFont="1" applyFill="1" applyBorder="1" applyAlignment="1" applyProtection="1">
      <alignment horizontal="right"/>
    </xf>
    <xf numFmtId="167" fontId="25" fillId="0" borderId="11" xfId="7" applyNumberFormat="1" applyFont="1" applyFill="1" applyBorder="1" applyAlignment="1" applyProtection="1">
      <alignment horizontal="right"/>
    </xf>
    <xf numFmtId="166" fontId="20" fillId="0" borderId="0" xfId="0" applyNumberFormat="1" applyFont="1" applyFill="1" applyProtection="1"/>
    <xf numFmtId="165" fontId="25" fillId="0" borderId="10" xfId="1" applyFont="1" applyFill="1" applyBorder="1" applyProtection="1"/>
    <xf numFmtId="168" fontId="20" fillId="0" borderId="10" xfId="1" applyNumberFormat="1" applyFont="1" applyFill="1" applyBorder="1" applyProtection="1"/>
    <xf numFmtId="183" fontId="18" fillId="0" borderId="0" xfId="0" applyFont="1" applyFill="1" applyBorder="1" applyAlignment="1" applyProtection="1">
      <alignment horizontal="right"/>
    </xf>
    <xf numFmtId="167" fontId="20" fillId="0" borderId="0" xfId="0" applyNumberFormat="1" applyFont="1" applyFill="1" applyBorder="1" applyProtection="1"/>
    <xf numFmtId="167" fontId="22" fillId="0" borderId="0" xfId="0" applyNumberFormat="1" applyFont="1" applyFill="1" applyBorder="1" applyProtection="1"/>
    <xf numFmtId="183" fontId="25" fillId="0" borderId="5" xfId="0" applyFont="1" applyFill="1" applyBorder="1" applyProtection="1"/>
    <xf numFmtId="183" fontId="25" fillId="0" borderId="1" xfId="0" applyFont="1" applyFill="1" applyBorder="1" applyProtection="1"/>
    <xf numFmtId="183" fontId="25" fillId="0" borderId="0" xfId="0" applyFont="1" applyFill="1" applyProtection="1"/>
    <xf numFmtId="167" fontId="17" fillId="0" borderId="0" xfId="0" applyNumberFormat="1" applyFont="1" applyFill="1" applyBorder="1" applyProtection="1"/>
    <xf numFmtId="183" fontId="25" fillId="0" borderId="2" xfId="0" applyFont="1" applyFill="1" applyBorder="1" applyProtection="1"/>
    <xf numFmtId="183" fontId="25" fillId="0" borderId="4" xfId="0" applyFont="1" applyFill="1" applyBorder="1" applyProtection="1"/>
    <xf numFmtId="183" fontId="25" fillId="0" borderId="0" xfId="0" applyFont="1" applyFill="1" applyBorder="1" applyProtection="1"/>
    <xf numFmtId="183" fontId="0" fillId="0" borderId="0" xfId="0" applyFill="1" applyBorder="1" applyAlignment="1" applyProtection="1"/>
    <xf numFmtId="183" fontId="49" fillId="0" borderId="0" xfId="0" applyFont="1" applyFill="1" applyProtection="1"/>
    <xf numFmtId="168" fontId="25" fillId="0" borderId="0" xfId="1" applyNumberFormat="1" applyFont="1" applyFill="1" applyBorder="1" applyProtection="1"/>
    <xf numFmtId="170" fontId="0" fillId="0" borderId="0" xfId="7" applyNumberFormat="1" applyFont="1" applyFill="1" applyBorder="1" applyProtection="1"/>
    <xf numFmtId="168" fontId="0" fillId="0" borderId="0" xfId="0" applyNumberFormat="1" applyFill="1" applyBorder="1" applyProtection="1"/>
    <xf numFmtId="2" fontId="0" fillId="0" borderId="0" xfId="7" applyNumberFormat="1" applyFont="1" applyFill="1" applyBorder="1" applyProtection="1"/>
    <xf numFmtId="170" fontId="18" fillId="0" borderId="0" xfId="7" applyNumberFormat="1" applyFont="1" applyFill="1" applyBorder="1" applyAlignment="1" applyProtection="1">
      <alignment horizontal="left"/>
    </xf>
    <xf numFmtId="181" fontId="18" fillId="0" borderId="0" xfId="1" applyNumberFormat="1" applyFont="1" applyFill="1" applyBorder="1" applyAlignment="1" applyProtection="1">
      <alignment horizontal="left"/>
    </xf>
    <xf numFmtId="181" fontId="15" fillId="0" borderId="0" xfId="1" applyNumberFormat="1" applyFont="1" applyFill="1" applyBorder="1" applyAlignment="1" applyProtection="1">
      <alignment horizontal="left"/>
    </xf>
    <xf numFmtId="183" fontId="0" fillId="0" borderId="6" xfId="0" applyFill="1" applyBorder="1" applyProtection="1"/>
    <xf numFmtId="183" fontId="0" fillId="0" borderId="3" xfId="0" applyFill="1" applyBorder="1" applyProtection="1"/>
    <xf numFmtId="183" fontId="0" fillId="0" borderId="4" xfId="0" applyFill="1" applyBorder="1" applyProtection="1"/>
    <xf numFmtId="183" fontId="0" fillId="0" borderId="2" xfId="0" applyFill="1" applyBorder="1" applyProtection="1"/>
    <xf numFmtId="183" fontId="0" fillId="0" borderId="7" xfId="0" applyFill="1" applyBorder="1" applyProtection="1"/>
    <xf numFmtId="183" fontId="0" fillId="0" borderId="9" xfId="0" applyFill="1" applyBorder="1" applyProtection="1"/>
    <xf numFmtId="183" fontId="26" fillId="0" borderId="2" xfId="0" applyFont="1" applyFill="1" applyBorder="1" applyAlignment="1" applyProtection="1">
      <alignment horizontal="centerContinuous"/>
    </xf>
    <xf numFmtId="183" fontId="26" fillId="0" borderId="3" xfId="0" applyFont="1" applyFill="1" applyBorder="1" applyAlignment="1" applyProtection="1">
      <alignment horizontal="centerContinuous"/>
    </xf>
    <xf numFmtId="183" fontId="26" fillId="0" borderId="4" xfId="0" applyFont="1" applyFill="1" applyBorder="1" applyAlignment="1" applyProtection="1">
      <alignment horizontal="centerContinuous"/>
    </xf>
    <xf numFmtId="183" fontId="26" fillId="0" borderId="0" xfId="0" applyFont="1" applyFill="1" applyBorder="1" applyAlignment="1" applyProtection="1">
      <alignment horizontal="center"/>
    </xf>
    <xf numFmtId="183" fontId="26" fillId="0" borderId="7" xfId="0" applyFont="1" applyFill="1" applyBorder="1" applyAlignment="1" applyProtection="1">
      <alignment horizontal="center"/>
    </xf>
    <xf numFmtId="183" fontId="26" fillId="0" borderId="6" xfId="0" applyFont="1" applyFill="1" applyBorder="1" applyAlignment="1" applyProtection="1">
      <alignment horizontal="center"/>
    </xf>
    <xf numFmtId="183" fontId="26" fillId="0" borderId="1" xfId="0" applyFont="1" applyFill="1" applyBorder="1" applyAlignment="1" applyProtection="1">
      <alignment horizontal="center"/>
    </xf>
    <xf numFmtId="183" fontId="26" fillId="0" borderId="5" xfId="0" applyFont="1" applyFill="1" applyBorder="1" applyAlignment="1" applyProtection="1">
      <alignment horizontal="center"/>
    </xf>
    <xf numFmtId="183" fontId="26" fillId="0" borderId="8" xfId="0" applyFont="1" applyFill="1" applyBorder="1" applyAlignment="1" applyProtection="1">
      <alignment horizontal="center"/>
    </xf>
    <xf numFmtId="183" fontId="26" fillId="0" borderId="9" xfId="0" applyFont="1" applyFill="1" applyBorder="1" applyAlignment="1" applyProtection="1">
      <alignment horizontal="center"/>
    </xf>
    <xf numFmtId="183" fontId="27" fillId="0" borderId="0" xfId="0" applyFont="1" applyFill="1" applyBorder="1" applyAlignment="1" applyProtection="1">
      <alignment horizontal="center"/>
    </xf>
    <xf numFmtId="183" fontId="20" fillId="0" borderId="7" xfId="0" applyFont="1" applyFill="1" applyBorder="1" applyProtection="1"/>
    <xf numFmtId="168" fontId="25" fillId="0" borderId="11" xfId="1" applyNumberFormat="1" applyFont="1" applyFill="1" applyBorder="1" applyProtection="1"/>
    <xf numFmtId="168" fontId="25" fillId="0" borderId="9" xfId="1" applyNumberFormat="1" applyFont="1" applyFill="1" applyBorder="1" applyProtection="1"/>
    <xf numFmtId="183" fontId="25" fillId="0" borderId="9" xfId="0" applyFont="1" applyFill="1" applyBorder="1" applyProtection="1"/>
    <xf numFmtId="168" fontId="25" fillId="0" borderId="0" xfId="0" applyNumberFormat="1" applyFont="1" applyFill="1" applyBorder="1" applyProtection="1"/>
    <xf numFmtId="167" fontId="25" fillId="0" borderId="0" xfId="7" applyNumberFormat="1" applyFont="1" applyFill="1" applyBorder="1" applyProtection="1"/>
    <xf numFmtId="167" fontId="25" fillId="0" borderId="0" xfId="7" applyNumberFormat="1" applyFont="1" applyFill="1" applyBorder="1" applyAlignment="1" applyProtection="1">
      <alignment horizontal="right"/>
    </xf>
    <xf numFmtId="165" fontId="16" fillId="0" borderId="0" xfId="1" applyFont="1" applyFill="1" applyBorder="1" applyAlignment="1" applyProtection="1">
      <alignment horizontal="right"/>
    </xf>
    <xf numFmtId="168" fontId="46" fillId="0" borderId="9" xfId="1" applyNumberFormat="1" applyFont="1" applyFill="1" applyBorder="1" applyProtection="1"/>
    <xf numFmtId="168" fontId="20" fillId="0" borderId="0" xfId="1" applyNumberFormat="1" applyFont="1" applyFill="1" applyBorder="1" applyProtection="1"/>
    <xf numFmtId="168" fontId="20" fillId="0" borderId="0" xfId="0" applyNumberFormat="1" applyFont="1" applyFill="1" applyBorder="1" applyProtection="1"/>
    <xf numFmtId="168" fontId="25" fillId="0" borderId="0" xfId="1" applyNumberFormat="1" applyFont="1" applyFill="1" applyBorder="1" applyAlignment="1" applyProtection="1">
      <alignment horizontal="right"/>
    </xf>
    <xf numFmtId="168" fontId="20" fillId="0" borderId="0" xfId="1" applyNumberFormat="1" applyFont="1" applyFill="1" applyBorder="1" applyAlignment="1" applyProtection="1">
      <alignment horizontal="right"/>
    </xf>
    <xf numFmtId="168" fontId="25" fillId="0" borderId="0" xfId="1" applyNumberFormat="1" applyFont="1" applyFill="1" applyBorder="1" applyAlignment="1" applyProtection="1">
      <alignment horizontal="center"/>
    </xf>
    <xf numFmtId="168" fontId="25" fillId="0" borderId="11" xfId="1" applyNumberFormat="1" applyFont="1" applyFill="1" applyBorder="1" applyAlignment="1" applyProtection="1">
      <alignment horizontal="center"/>
    </xf>
    <xf numFmtId="168" fontId="25" fillId="0" borderId="9" xfId="1" applyNumberFormat="1" applyFont="1" applyFill="1" applyBorder="1" applyAlignment="1" applyProtection="1">
      <alignment horizontal="center"/>
    </xf>
    <xf numFmtId="183" fontId="25" fillId="0" borderId="11" xfId="0" applyFont="1" applyFill="1" applyBorder="1" applyProtection="1"/>
    <xf numFmtId="168" fontId="47" fillId="0" borderId="9" xfId="1" applyNumberFormat="1" applyFont="1" applyFill="1" applyBorder="1" applyProtection="1"/>
    <xf numFmtId="169" fontId="25" fillId="0" borderId="0" xfId="0" applyNumberFormat="1" applyFont="1" applyFill="1" applyBorder="1" applyProtection="1"/>
    <xf numFmtId="165" fontId="25" fillId="0" borderId="11" xfId="1" applyFont="1" applyFill="1" applyBorder="1" applyProtection="1"/>
    <xf numFmtId="2" fontId="25" fillId="0" borderId="0" xfId="0" applyNumberFormat="1" applyFont="1" applyFill="1" applyBorder="1" applyProtection="1"/>
    <xf numFmtId="2" fontId="25" fillId="0" borderId="11" xfId="0" applyNumberFormat="1" applyFont="1" applyFill="1" applyBorder="1" applyProtection="1"/>
    <xf numFmtId="169" fontId="25" fillId="0" borderId="9" xfId="0" applyNumberFormat="1" applyFont="1" applyFill="1" applyBorder="1" applyProtection="1"/>
    <xf numFmtId="169" fontId="25" fillId="0" borderId="11" xfId="0" applyNumberFormat="1" applyFont="1" applyFill="1" applyBorder="1" applyProtection="1"/>
    <xf numFmtId="169" fontId="25" fillId="0" borderId="0" xfId="1" applyNumberFormat="1" applyFont="1" applyFill="1" applyBorder="1" applyProtection="1"/>
    <xf numFmtId="169" fontId="20" fillId="0" borderId="0" xfId="0" applyNumberFormat="1" applyFont="1" applyFill="1" applyBorder="1" applyProtection="1"/>
    <xf numFmtId="2" fontId="20" fillId="0" borderId="0" xfId="0" applyNumberFormat="1" applyFont="1" applyFill="1" applyBorder="1" applyProtection="1"/>
    <xf numFmtId="169" fontId="25" fillId="0" borderId="9" xfId="1" applyNumberFormat="1" applyFont="1" applyFill="1" applyBorder="1" applyProtection="1"/>
    <xf numFmtId="169" fontId="25" fillId="0" borderId="11" xfId="1" applyNumberFormat="1" applyFont="1" applyFill="1" applyBorder="1" applyProtection="1"/>
    <xf numFmtId="185" fontId="25" fillId="0" borderId="0" xfId="1" applyNumberFormat="1" applyFont="1" applyFill="1" applyBorder="1" applyProtection="1"/>
    <xf numFmtId="165" fontId="25" fillId="0" borderId="0" xfId="0" applyNumberFormat="1" applyFont="1" applyFill="1" applyBorder="1" applyProtection="1"/>
    <xf numFmtId="183" fontId="25" fillId="0" borderId="9" xfId="1" applyNumberFormat="1" applyFont="1" applyFill="1" applyBorder="1" applyProtection="1"/>
    <xf numFmtId="2" fontId="25" fillId="0" borderId="11" xfId="1" applyNumberFormat="1" applyFont="1" applyFill="1" applyBorder="1" applyProtection="1"/>
    <xf numFmtId="2" fontId="25" fillId="0" borderId="9" xfId="1" applyNumberFormat="1" applyFont="1" applyFill="1" applyBorder="1" applyProtection="1"/>
    <xf numFmtId="183" fontId="25" fillId="0" borderId="11" xfId="1" applyNumberFormat="1" applyFont="1" applyFill="1" applyBorder="1" applyProtection="1"/>
    <xf numFmtId="173" fontId="25" fillId="0" borderId="0" xfId="1" applyNumberFormat="1" applyFont="1" applyFill="1" applyBorder="1" applyProtection="1"/>
    <xf numFmtId="173" fontId="25" fillId="0" borderId="11" xfId="1" applyNumberFormat="1" applyFont="1" applyFill="1" applyBorder="1" applyProtection="1"/>
    <xf numFmtId="168" fontId="20" fillId="0" borderId="11" xfId="1" applyNumberFormat="1" applyFont="1" applyFill="1" applyBorder="1" applyProtection="1"/>
    <xf numFmtId="168" fontId="20" fillId="0" borderId="9" xfId="1" applyNumberFormat="1" applyFont="1" applyFill="1" applyBorder="1" applyProtection="1"/>
    <xf numFmtId="183" fontId="20" fillId="0" borderId="9" xfId="0" applyFont="1" applyFill="1" applyBorder="1" applyProtection="1"/>
    <xf numFmtId="167" fontId="20" fillId="0" borderId="11" xfId="7" applyNumberFormat="1" applyFont="1" applyFill="1" applyBorder="1" applyAlignment="1" applyProtection="1">
      <alignment horizontal="right"/>
    </xf>
    <xf numFmtId="167" fontId="20" fillId="0" borderId="0" xfId="7" applyNumberFormat="1" applyFont="1" applyFill="1" applyBorder="1" applyProtection="1"/>
    <xf numFmtId="183" fontId="15" fillId="0" borderId="10" xfId="0" applyFont="1" applyFill="1" applyBorder="1" applyProtection="1"/>
    <xf numFmtId="168" fontId="20" fillId="0" borderId="11" xfId="1" applyNumberFormat="1" applyFont="1" applyFill="1" applyBorder="1" applyAlignment="1" applyProtection="1">
      <alignment horizontal="right"/>
    </xf>
    <xf numFmtId="168" fontId="20" fillId="0" borderId="9" xfId="1" applyNumberFormat="1" applyFont="1" applyFill="1" applyBorder="1" applyAlignment="1" applyProtection="1">
      <alignment horizontal="right"/>
    </xf>
    <xf numFmtId="168" fontId="25" fillId="0" borderId="10" xfId="1" applyNumberFormat="1" applyFont="1" applyFill="1" applyBorder="1" applyAlignment="1" applyProtection="1">
      <alignment horizontal="right"/>
    </xf>
    <xf numFmtId="168" fontId="25" fillId="0" borderId="11" xfId="1" applyNumberFormat="1" applyFont="1" applyFill="1" applyBorder="1" applyAlignment="1" applyProtection="1">
      <alignment horizontal="right"/>
    </xf>
    <xf numFmtId="168" fontId="25" fillId="0" borderId="9" xfId="1" applyNumberFormat="1" applyFont="1" applyFill="1" applyBorder="1" applyAlignment="1" applyProtection="1">
      <alignment horizontal="right"/>
    </xf>
    <xf numFmtId="168" fontId="20" fillId="0" borderId="0" xfId="412" applyNumberFormat="1" applyFont="1" applyFill="1" applyBorder="1" applyProtection="1"/>
    <xf numFmtId="167" fontId="25" fillId="0" borderId="9" xfId="7" applyNumberFormat="1" applyFont="1" applyFill="1" applyBorder="1" applyProtection="1"/>
    <xf numFmtId="170" fontId="25" fillId="0" borderId="0" xfId="0" applyNumberFormat="1" applyFont="1" applyFill="1" applyBorder="1" applyProtection="1"/>
    <xf numFmtId="170" fontId="25" fillId="0" borderId="9" xfId="0" applyNumberFormat="1" applyFont="1" applyFill="1" applyBorder="1" applyProtection="1"/>
    <xf numFmtId="170" fontId="25" fillId="0" borderId="11" xfId="0" applyNumberFormat="1" applyFont="1" applyFill="1" applyBorder="1" applyProtection="1"/>
    <xf numFmtId="170" fontId="25" fillId="0" borderId="11" xfId="7" applyNumberFormat="1" applyFont="1" applyFill="1" applyBorder="1" applyProtection="1"/>
    <xf numFmtId="167" fontId="25" fillId="0" borderId="11" xfId="7" applyNumberFormat="1" applyFont="1" applyFill="1" applyBorder="1" applyProtection="1"/>
    <xf numFmtId="181" fontId="25" fillId="0" borderId="0" xfId="1" applyNumberFormat="1" applyFont="1" applyFill="1" applyBorder="1" applyAlignment="1" applyProtection="1">
      <alignment horizontal="center"/>
    </xf>
    <xf numFmtId="181" fontId="25" fillId="0" borderId="11" xfId="1" applyNumberFormat="1" applyFont="1" applyFill="1" applyBorder="1" applyAlignment="1" applyProtection="1">
      <alignment horizontal="center"/>
    </xf>
    <xf numFmtId="181" fontId="20" fillId="0" borderId="0" xfId="1" applyNumberFormat="1" applyFont="1" applyFill="1" applyBorder="1" applyAlignment="1" applyProtection="1">
      <alignment horizontal="center"/>
    </xf>
    <xf numFmtId="167" fontId="20" fillId="0" borderId="0" xfId="7" applyNumberFormat="1" applyFont="1" applyFill="1" applyBorder="1" applyAlignment="1" applyProtection="1">
      <alignment horizontal="center"/>
    </xf>
    <xf numFmtId="167" fontId="25" fillId="0" borderId="0" xfId="7" applyNumberFormat="1" applyFont="1" applyFill="1" applyBorder="1" applyAlignment="1" applyProtection="1">
      <alignment horizontal="center"/>
    </xf>
    <xf numFmtId="183" fontId="25" fillId="0" borderId="0" xfId="0" applyFont="1" applyFill="1" applyBorder="1" applyAlignment="1" applyProtection="1">
      <alignment horizontal="center"/>
    </xf>
    <xf numFmtId="183" fontId="25" fillId="0" borderId="11" xfId="0" applyFont="1" applyFill="1" applyBorder="1" applyAlignment="1" applyProtection="1">
      <alignment horizontal="center"/>
    </xf>
    <xf numFmtId="170" fontId="25" fillId="0" borderId="0" xfId="0" applyNumberFormat="1" applyFont="1" applyFill="1" applyBorder="1" applyAlignment="1" applyProtection="1">
      <alignment horizontal="center"/>
    </xf>
    <xf numFmtId="170" fontId="25" fillId="0" borderId="9" xfId="0" applyNumberFormat="1" applyFont="1" applyFill="1" applyBorder="1" applyAlignment="1" applyProtection="1">
      <alignment horizontal="center"/>
    </xf>
    <xf numFmtId="170" fontId="25" fillId="0" borderId="11" xfId="0" applyNumberFormat="1" applyFont="1" applyFill="1" applyBorder="1" applyAlignment="1" applyProtection="1">
      <alignment horizontal="center"/>
    </xf>
    <xf numFmtId="170" fontId="25" fillId="0" borderId="11" xfId="7" applyNumberFormat="1" applyFont="1" applyFill="1" applyBorder="1" applyAlignment="1" applyProtection="1">
      <alignment horizontal="center"/>
    </xf>
    <xf numFmtId="183" fontId="25" fillId="0" borderId="9" xfId="0" applyFont="1" applyFill="1" applyBorder="1" applyAlignment="1" applyProtection="1">
      <alignment horizontal="center"/>
    </xf>
    <xf numFmtId="181" fontId="25" fillId="0" borderId="9" xfId="1" applyNumberFormat="1" applyFont="1" applyFill="1" applyBorder="1" applyAlignment="1" applyProtection="1">
      <alignment horizontal="center"/>
    </xf>
    <xf numFmtId="183" fontId="20" fillId="0" borderId="11" xfId="0" applyFont="1" applyFill="1" applyBorder="1" applyProtection="1"/>
    <xf numFmtId="170" fontId="20" fillId="0" borderId="0" xfId="0" applyNumberFormat="1" applyFont="1" applyFill="1" applyBorder="1" applyAlignment="1" applyProtection="1">
      <alignment horizontal="right"/>
    </xf>
    <xf numFmtId="170" fontId="20" fillId="0" borderId="0" xfId="0" applyNumberFormat="1" applyFont="1" applyFill="1" applyBorder="1" applyProtection="1"/>
    <xf numFmtId="170" fontId="20" fillId="0" borderId="9" xfId="0" applyNumberFormat="1" applyFont="1" applyFill="1" applyBorder="1" applyProtection="1"/>
    <xf numFmtId="170" fontId="20" fillId="0" borderId="11" xfId="0" applyNumberFormat="1" applyFont="1" applyFill="1" applyBorder="1" applyProtection="1"/>
    <xf numFmtId="170" fontId="20" fillId="0" borderId="11" xfId="7" applyNumberFormat="1" applyFont="1" applyFill="1" applyBorder="1" applyProtection="1"/>
    <xf numFmtId="165" fontId="20" fillId="0" borderId="0" xfId="1" applyFont="1" applyFill="1" applyBorder="1" applyAlignment="1" applyProtection="1">
      <alignment horizontal="right"/>
    </xf>
    <xf numFmtId="165" fontId="20" fillId="0" borderId="11" xfId="1" applyFont="1" applyFill="1" applyBorder="1" applyAlignment="1" applyProtection="1">
      <alignment horizontal="right"/>
    </xf>
    <xf numFmtId="169" fontId="20" fillId="0" borderId="0" xfId="0" applyNumberFormat="1" applyFont="1" applyFill="1" applyBorder="1" applyAlignment="1" applyProtection="1">
      <alignment horizontal="right"/>
    </xf>
    <xf numFmtId="165" fontId="25" fillId="0" borderId="0" xfId="1" applyNumberFormat="1" applyFont="1" applyFill="1" applyBorder="1" applyAlignment="1" applyProtection="1"/>
    <xf numFmtId="165" fontId="20" fillId="0" borderId="0" xfId="1" applyNumberFormat="1" applyFont="1" applyFill="1" applyBorder="1" applyAlignment="1" applyProtection="1"/>
    <xf numFmtId="189" fontId="20" fillId="0" borderId="0" xfId="1" applyNumberFormat="1" applyFont="1" applyFill="1" applyBorder="1" applyAlignment="1" applyProtection="1"/>
    <xf numFmtId="171" fontId="20" fillId="0" borderId="11" xfId="0" applyNumberFormat="1" applyFont="1" applyFill="1" applyBorder="1" applyProtection="1"/>
    <xf numFmtId="171" fontId="20" fillId="0" borderId="0" xfId="0" applyNumberFormat="1" applyFont="1" applyFill="1" applyBorder="1" applyProtection="1"/>
    <xf numFmtId="174" fontId="20" fillId="0" borderId="0" xfId="0" applyNumberFormat="1" applyFont="1" applyFill="1" applyBorder="1" applyAlignment="1" applyProtection="1">
      <alignment horizontal="right"/>
    </xf>
    <xf numFmtId="169" fontId="20" fillId="0" borderId="9" xfId="0" applyNumberFormat="1" applyFont="1" applyFill="1" applyBorder="1" applyProtection="1"/>
    <xf numFmtId="169" fontId="20" fillId="0" borderId="11" xfId="0" applyNumberFormat="1" applyFont="1" applyFill="1" applyBorder="1" applyProtection="1"/>
    <xf numFmtId="39" fontId="20" fillId="0" borderId="11" xfId="0" applyNumberFormat="1" applyFont="1" applyFill="1" applyBorder="1" applyProtection="1"/>
    <xf numFmtId="165" fontId="20" fillId="0" borderId="0" xfId="1" applyFont="1" applyFill="1" applyBorder="1" applyProtection="1"/>
    <xf numFmtId="2" fontId="20" fillId="0" borderId="9" xfId="0" applyNumberFormat="1" applyFont="1" applyFill="1" applyBorder="1" applyProtection="1"/>
    <xf numFmtId="171" fontId="20" fillId="0" borderId="9" xfId="0" applyNumberFormat="1" applyFont="1" applyFill="1" applyBorder="1" applyProtection="1"/>
    <xf numFmtId="2" fontId="25" fillId="0" borderId="9" xfId="0" applyNumberFormat="1" applyFont="1" applyFill="1" applyBorder="1" applyProtection="1"/>
    <xf numFmtId="171" fontId="25" fillId="0" borderId="9" xfId="0" applyNumberFormat="1" applyFont="1" applyFill="1" applyBorder="1" applyProtection="1"/>
    <xf numFmtId="169" fontId="25" fillId="0" borderId="0" xfId="0" applyNumberFormat="1" applyFont="1" applyFill="1" applyBorder="1" applyAlignment="1" applyProtection="1"/>
    <xf numFmtId="169" fontId="20" fillId="0" borderId="0" xfId="0" applyNumberFormat="1" applyFont="1" applyFill="1" applyBorder="1" applyAlignment="1" applyProtection="1"/>
    <xf numFmtId="169" fontId="20" fillId="0" borderId="11" xfId="0" applyNumberFormat="1" applyFont="1" applyFill="1" applyBorder="1" applyAlignment="1" applyProtection="1">
      <alignment horizontal="right"/>
    </xf>
    <xf numFmtId="170" fontId="20" fillId="0" borderId="0" xfId="7" applyNumberFormat="1" applyFont="1" applyFill="1" applyBorder="1" applyAlignment="1" applyProtection="1">
      <alignment horizontal="right"/>
    </xf>
    <xf numFmtId="170" fontId="25" fillId="0" borderId="0" xfId="7" applyNumberFormat="1" applyFont="1" applyFill="1" applyBorder="1" applyAlignment="1" applyProtection="1"/>
    <xf numFmtId="170" fontId="20" fillId="0" borderId="0" xfId="7" applyNumberFormat="1" applyFont="1" applyFill="1" applyBorder="1" applyAlignment="1" applyProtection="1"/>
    <xf numFmtId="170" fontId="20" fillId="0" borderId="0" xfId="7" applyNumberFormat="1" applyFont="1" applyFill="1" applyBorder="1" applyProtection="1"/>
    <xf numFmtId="167" fontId="20" fillId="0" borderId="9" xfId="7" applyNumberFormat="1" applyFont="1" applyFill="1" applyBorder="1" applyProtection="1"/>
    <xf numFmtId="167" fontId="20" fillId="0" borderId="11" xfId="7" applyNumberFormat="1" applyFont="1" applyFill="1" applyBorder="1" applyProtection="1"/>
    <xf numFmtId="167" fontId="25" fillId="0" borderId="0" xfId="0" applyNumberFormat="1" applyFont="1" applyFill="1" applyBorder="1" applyProtection="1"/>
    <xf numFmtId="176" fontId="25" fillId="0" borderId="0" xfId="0" applyNumberFormat="1" applyFont="1" applyFill="1" applyBorder="1" applyAlignment="1" applyProtection="1">
      <alignment horizontal="right"/>
    </xf>
    <xf numFmtId="167" fontId="20" fillId="0" borderId="9" xfId="0" applyNumberFormat="1" applyFont="1" applyFill="1" applyBorder="1" applyProtection="1"/>
    <xf numFmtId="167" fontId="25" fillId="0" borderId="9" xfId="0" applyNumberFormat="1" applyFont="1" applyFill="1" applyBorder="1" applyProtection="1"/>
    <xf numFmtId="172" fontId="20" fillId="0" borderId="0" xfId="0" applyNumberFormat="1" applyFont="1" applyFill="1" applyBorder="1" applyProtection="1"/>
    <xf numFmtId="172" fontId="20" fillId="0" borderId="11" xfId="0" applyNumberFormat="1" applyFont="1" applyFill="1" applyBorder="1" applyProtection="1"/>
    <xf numFmtId="172" fontId="25" fillId="0" borderId="0" xfId="0" applyNumberFormat="1" applyFont="1" applyFill="1" applyBorder="1" applyProtection="1"/>
    <xf numFmtId="177" fontId="20" fillId="0" borderId="0" xfId="0" applyNumberFormat="1" applyFont="1" applyFill="1" applyBorder="1" applyProtection="1"/>
    <xf numFmtId="177" fontId="20" fillId="0" borderId="11" xfId="0" applyNumberFormat="1" applyFont="1" applyFill="1" applyBorder="1" applyProtection="1"/>
    <xf numFmtId="172" fontId="20" fillId="0" borderId="9" xfId="0" applyNumberFormat="1" applyFont="1" applyFill="1" applyBorder="1" applyProtection="1"/>
    <xf numFmtId="172" fontId="25" fillId="0" borderId="9" xfId="0" applyNumberFormat="1" applyFont="1" applyFill="1" applyBorder="1" applyProtection="1"/>
    <xf numFmtId="172" fontId="25" fillId="0" borderId="11" xfId="0" applyNumberFormat="1" applyFont="1" applyFill="1" applyBorder="1" applyProtection="1"/>
    <xf numFmtId="177" fontId="25" fillId="0" borderId="0" xfId="0" applyNumberFormat="1" applyFont="1" applyFill="1" applyBorder="1" applyProtection="1"/>
    <xf numFmtId="183" fontId="25" fillId="0" borderId="6" xfId="0" applyFont="1" applyFill="1" applyBorder="1" applyProtection="1"/>
    <xf numFmtId="183" fontId="25" fillId="0" borderId="8" xfId="0" applyFont="1" applyFill="1" applyBorder="1" applyProtection="1"/>
    <xf numFmtId="168" fontId="25" fillId="0" borderId="6" xfId="1" applyNumberFormat="1" applyFont="1" applyFill="1" applyBorder="1" applyProtection="1"/>
    <xf numFmtId="167" fontId="25" fillId="0" borderId="1" xfId="7" applyNumberFormat="1" applyFont="1" applyFill="1" applyBorder="1" applyAlignment="1" applyProtection="1">
      <alignment horizontal="right"/>
    </xf>
    <xf numFmtId="183" fontId="52" fillId="0" borderId="0" xfId="0" applyFont="1" applyFill="1" applyProtection="1"/>
    <xf numFmtId="9" fontId="25" fillId="0" borderId="0" xfId="7" applyFont="1" applyFill="1" applyBorder="1" applyProtection="1"/>
    <xf numFmtId="183" fontId="48" fillId="0" borderId="3" xfId="0" applyFont="1" applyFill="1" applyBorder="1" applyAlignment="1" applyProtection="1">
      <alignment horizontal="center"/>
    </xf>
    <xf numFmtId="183" fontId="48" fillId="0" borderId="2" xfId="0" applyFont="1" applyFill="1" applyBorder="1" applyAlignment="1" applyProtection="1">
      <alignment horizontal="center"/>
    </xf>
    <xf numFmtId="183" fontId="48" fillId="0" borderId="0" xfId="0" applyFont="1" applyFill="1" applyBorder="1" applyAlignment="1" applyProtection="1">
      <alignment horizontal="center"/>
    </xf>
    <xf numFmtId="183" fontId="25" fillId="0" borderId="3" xfId="0" applyFont="1" applyFill="1" applyBorder="1" applyProtection="1"/>
    <xf numFmtId="183" fontId="25" fillId="0" borderId="7" xfId="0" applyFont="1" applyFill="1" applyBorder="1" applyProtection="1"/>
    <xf numFmtId="183" fontId="48" fillId="0" borderId="7" xfId="0" applyFont="1" applyFill="1" applyBorder="1" applyAlignment="1" applyProtection="1">
      <alignment horizontal="center"/>
    </xf>
    <xf numFmtId="183" fontId="48" fillId="0" borderId="1" xfId="0" applyFont="1" applyFill="1" applyBorder="1" applyAlignment="1" applyProtection="1">
      <alignment horizontal="center"/>
    </xf>
    <xf numFmtId="183" fontId="48" fillId="0" borderId="6" xfId="0" applyFont="1" applyFill="1" applyBorder="1" applyAlignment="1" applyProtection="1">
      <alignment horizontal="center"/>
    </xf>
    <xf numFmtId="183" fontId="48" fillId="0" borderId="8" xfId="0" applyFont="1" applyFill="1" applyBorder="1" applyAlignment="1" applyProtection="1">
      <alignment horizontal="center"/>
    </xf>
    <xf numFmtId="183" fontId="48" fillId="0" borderId="9" xfId="0" applyFont="1" applyFill="1" applyBorder="1" applyAlignment="1" applyProtection="1">
      <alignment horizontal="center"/>
    </xf>
    <xf numFmtId="183" fontId="48" fillId="0" borderId="5" xfId="0" applyFont="1" applyFill="1" applyBorder="1" applyAlignment="1" applyProtection="1">
      <alignment horizontal="center"/>
    </xf>
    <xf numFmtId="183" fontId="25" fillId="0" borderId="10" xfId="0" applyFont="1" applyFill="1" applyBorder="1" applyProtection="1"/>
    <xf numFmtId="37" fontId="25" fillId="0" borderId="0" xfId="0" applyNumberFormat="1" applyFont="1" applyFill="1" applyBorder="1" applyProtection="1"/>
    <xf numFmtId="37" fontId="25" fillId="0" borderId="11" xfId="0" applyNumberFormat="1" applyFont="1" applyFill="1" applyBorder="1" applyProtection="1"/>
    <xf numFmtId="37" fontId="25" fillId="0" borderId="10" xfId="0" applyNumberFormat="1" applyFont="1" applyFill="1" applyBorder="1" applyProtection="1"/>
    <xf numFmtId="168" fontId="25" fillId="0" borderId="9" xfId="0" applyNumberFormat="1" applyFont="1" applyFill="1" applyBorder="1" applyProtection="1"/>
    <xf numFmtId="181" fontId="25" fillId="0" borderId="0" xfId="1" applyNumberFormat="1" applyFont="1" applyFill="1" applyBorder="1" applyProtection="1"/>
    <xf numFmtId="181" fontId="25" fillId="0" borderId="11" xfId="1" applyNumberFormat="1" applyFont="1" applyFill="1" applyBorder="1" applyProtection="1"/>
    <xf numFmtId="167" fontId="25" fillId="0" borderId="10" xfId="0" applyNumberFormat="1" applyFont="1" applyFill="1" applyBorder="1" applyProtection="1"/>
    <xf numFmtId="165" fontId="25" fillId="0" borderId="0" xfId="1" applyNumberFormat="1" applyFont="1" applyFill="1" applyBorder="1" applyProtection="1"/>
    <xf numFmtId="39" fontId="25" fillId="0" borderId="10" xfId="0" applyNumberFormat="1" applyFont="1" applyFill="1" applyBorder="1" applyProtection="1"/>
    <xf numFmtId="39" fontId="25" fillId="0" borderId="0" xfId="0" applyNumberFormat="1" applyFont="1" applyFill="1" applyBorder="1" applyProtection="1"/>
    <xf numFmtId="171" fontId="25" fillId="0" borderId="11" xfId="7" applyNumberFormat="1" applyFont="1" applyFill="1" applyBorder="1" applyAlignment="1" applyProtection="1">
      <alignment horizontal="right"/>
    </xf>
    <xf numFmtId="171" fontId="25" fillId="0" borderId="0" xfId="0" applyNumberFormat="1" applyFont="1" applyFill="1" applyBorder="1" applyProtection="1"/>
    <xf numFmtId="174" fontId="25" fillId="0" borderId="0" xfId="0" applyNumberFormat="1" applyFont="1" applyFill="1" applyBorder="1" applyAlignment="1" applyProtection="1">
      <alignment horizontal="right"/>
    </xf>
    <xf numFmtId="174" fontId="25" fillId="0" borderId="11" xfId="0" applyNumberFormat="1" applyFont="1" applyFill="1" applyBorder="1" applyAlignment="1" applyProtection="1">
      <alignment horizontal="right"/>
    </xf>
    <xf numFmtId="39" fontId="25" fillId="0" borderId="11" xfId="0" applyNumberFormat="1" applyFont="1" applyFill="1" applyBorder="1" applyProtection="1"/>
    <xf numFmtId="2" fontId="25" fillId="0" borderId="9" xfId="7" applyNumberFormat="1" applyFont="1" applyFill="1" applyBorder="1" applyAlignment="1" applyProtection="1">
      <alignment horizontal="right"/>
    </xf>
    <xf numFmtId="171" fontId="25" fillId="0" borderId="9" xfId="7" applyNumberFormat="1" applyFont="1" applyFill="1" applyBorder="1" applyAlignment="1" applyProtection="1">
      <alignment horizontal="right"/>
    </xf>
    <xf numFmtId="167" fontId="25" fillId="0" borderId="10" xfId="7" applyNumberFormat="1" applyFont="1" applyFill="1" applyBorder="1" applyAlignment="1" applyProtection="1">
      <alignment horizontal="right"/>
    </xf>
    <xf numFmtId="169" fontId="25" fillId="0" borderId="10" xfId="0" applyNumberFormat="1" applyFont="1" applyFill="1" applyBorder="1" applyProtection="1"/>
    <xf numFmtId="169" fontId="25" fillId="0" borderId="11" xfId="0" applyNumberFormat="1" applyFont="1" applyFill="1" applyBorder="1" applyAlignment="1" applyProtection="1">
      <alignment horizontal="right"/>
    </xf>
    <xf numFmtId="169" fontId="25" fillId="0" borderId="0" xfId="0" applyNumberFormat="1" applyFont="1" applyFill="1" applyBorder="1" applyAlignment="1" applyProtection="1">
      <alignment horizontal="right"/>
    </xf>
    <xf numFmtId="167" fontId="20" fillId="0" borderId="10" xfId="7" applyNumberFormat="1" applyFont="1" applyFill="1" applyBorder="1" applyAlignment="1" applyProtection="1">
      <alignment horizontal="right"/>
    </xf>
    <xf numFmtId="167" fontId="20" fillId="0" borderId="9" xfId="0" applyNumberFormat="1" applyFont="1" applyFill="1" applyBorder="1" applyAlignment="1" applyProtection="1">
      <alignment horizontal="right"/>
    </xf>
    <xf numFmtId="167" fontId="25" fillId="0" borderId="9" xfId="0" applyNumberFormat="1" applyFont="1" applyFill="1" applyBorder="1" applyAlignment="1" applyProtection="1">
      <alignment horizontal="right"/>
    </xf>
    <xf numFmtId="177" fontId="25" fillId="0" borderId="10" xfId="0" applyNumberFormat="1" applyFont="1" applyFill="1" applyBorder="1" applyProtection="1"/>
    <xf numFmtId="177" fontId="20" fillId="0" borderId="10" xfId="0" applyNumberFormat="1" applyFont="1" applyFill="1" applyBorder="1" applyProtection="1"/>
    <xf numFmtId="192" fontId="20" fillId="0" borderId="0" xfId="0" applyNumberFormat="1" applyFont="1" applyFill="1" applyBorder="1" applyProtection="1"/>
    <xf numFmtId="172" fontId="20" fillId="0" borderId="10" xfId="0" applyNumberFormat="1" applyFont="1" applyFill="1" applyBorder="1" applyProtection="1"/>
    <xf numFmtId="169" fontId="25" fillId="0" borderId="6" xfId="0" applyNumberFormat="1" applyFont="1" applyFill="1" applyBorder="1" applyProtection="1"/>
    <xf numFmtId="169" fontId="25" fillId="0" borderId="1" xfId="0" applyNumberFormat="1" applyFont="1" applyFill="1" applyBorder="1" applyProtection="1"/>
    <xf numFmtId="181" fontId="0" fillId="0" borderId="0" xfId="1" applyNumberFormat="1" applyFont="1" applyFill="1" applyBorder="1" applyProtection="1"/>
    <xf numFmtId="169" fontId="20" fillId="0" borderId="0" xfId="1" applyNumberFormat="1" applyFont="1" applyFill="1" applyBorder="1" applyProtection="1"/>
    <xf numFmtId="39" fontId="20" fillId="0" borderId="0" xfId="0" applyNumberFormat="1" applyFont="1" applyFill="1" applyBorder="1" applyProtection="1"/>
    <xf numFmtId="183" fontId="0" fillId="0" borderId="0" xfId="0" applyProtection="1">
      <protection locked="0"/>
    </xf>
    <xf numFmtId="183" fontId="0" fillId="0" borderId="0" xfId="0" applyBorder="1" applyProtection="1">
      <protection locked="0"/>
    </xf>
    <xf numFmtId="181" fontId="0" fillId="0" borderId="0" xfId="1" applyNumberFormat="1" applyFont="1" applyBorder="1" applyProtection="1">
      <protection locked="0"/>
    </xf>
    <xf numFmtId="183" fontId="20" fillId="0" borderId="11" xfId="0" applyFont="1" applyBorder="1" applyProtection="1">
      <protection locked="0"/>
    </xf>
    <xf numFmtId="183" fontId="0" fillId="0" borderId="3" xfId="0" applyBorder="1" applyProtection="1">
      <protection locked="0"/>
    </xf>
    <xf numFmtId="183" fontId="0" fillId="0" borderId="9" xfId="0" applyBorder="1" applyProtection="1">
      <protection locked="0"/>
    </xf>
    <xf numFmtId="183" fontId="19" fillId="0" borderId="3" xfId="0" applyFont="1" applyFill="1" applyBorder="1" applyAlignment="1" applyProtection="1">
      <alignment horizontal="center"/>
      <protection locked="0"/>
    </xf>
    <xf numFmtId="183" fontId="20" fillId="0" borderId="9" xfId="0" applyFont="1" applyBorder="1" applyProtection="1">
      <protection locked="0"/>
    </xf>
    <xf numFmtId="183" fontId="20" fillId="0" borderId="0" xfId="0" applyFont="1" applyBorder="1" applyProtection="1">
      <protection locked="0"/>
    </xf>
    <xf numFmtId="183" fontId="20" fillId="0" borderId="0" xfId="0" applyFont="1" applyProtection="1">
      <protection locked="0"/>
    </xf>
    <xf numFmtId="37" fontId="20" fillId="0" borderId="0" xfId="7" applyNumberFormat="1" applyFont="1" applyFill="1" applyBorder="1" applyAlignment="1" applyProtection="1">
      <alignment horizontal="right"/>
      <protection locked="0"/>
    </xf>
    <xf numFmtId="37" fontId="20" fillId="0" borderId="0" xfId="0" applyNumberFormat="1" applyFont="1" applyBorder="1" applyProtection="1">
      <protection locked="0"/>
    </xf>
    <xf numFmtId="168" fontId="20" fillId="0" borderId="0" xfId="0" applyNumberFormat="1" applyFont="1" applyBorder="1" applyProtection="1">
      <protection locked="0"/>
    </xf>
    <xf numFmtId="2" fontId="0" fillId="0" borderId="0" xfId="0" applyNumberFormat="1" applyProtection="1">
      <protection locked="0"/>
    </xf>
    <xf numFmtId="37" fontId="20" fillId="0" borderId="13" xfId="7" applyNumberFormat="1" applyFont="1" applyFill="1" applyBorder="1" applyAlignment="1" applyProtection="1">
      <alignment horizontal="right"/>
      <protection locked="0"/>
    </xf>
    <xf numFmtId="181" fontId="20" fillId="0" borderId="0" xfId="1" applyNumberFormat="1" applyFont="1" applyFill="1" applyBorder="1" applyAlignment="1" applyProtection="1">
      <alignment horizontal="right"/>
      <protection locked="0"/>
    </xf>
    <xf numFmtId="181" fontId="20" fillId="0" borderId="0" xfId="1" applyNumberFormat="1" applyFont="1" applyBorder="1" applyProtection="1">
      <protection locked="0"/>
    </xf>
    <xf numFmtId="37" fontId="20" fillId="0" borderId="6" xfId="7" applyNumberFormat="1" applyFont="1" applyFill="1" applyBorder="1" applyAlignment="1" applyProtection="1">
      <alignment horizontal="right"/>
      <protection locked="0"/>
    </xf>
    <xf numFmtId="181" fontId="20" fillId="0" borderId="6" xfId="1" applyNumberFormat="1" applyFont="1" applyFill="1" applyBorder="1" applyAlignment="1" applyProtection="1">
      <alignment horizontal="right"/>
      <protection locked="0"/>
    </xf>
    <xf numFmtId="181" fontId="20" fillId="0" borderId="6" xfId="1" applyNumberFormat="1" applyFont="1" applyBorder="1" applyProtection="1">
      <protection locked="0"/>
    </xf>
    <xf numFmtId="37" fontId="20" fillId="0" borderId="11" xfId="7" applyNumberFormat="1" applyFont="1" applyFill="1" applyBorder="1" applyAlignment="1" applyProtection="1">
      <alignment horizontal="right"/>
      <protection locked="0"/>
    </xf>
    <xf numFmtId="10" fontId="0" fillId="0" borderId="0" xfId="0" applyNumberFormat="1" applyProtection="1">
      <protection locked="0"/>
    </xf>
    <xf numFmtId="168" fontId="20" fillId="0" borderId="0" xfId="0" applyNumberFormat="1" applyFont="1" applyFill="1" applyProtection="1">
      <protection locked="0"/>
    </xf>
    <xf numFmtId="183" fontId="20" fillId="0" borderId="0" xfId="0" applyFont="1" applyFill="1" applyProtection="1">
      <protection locked="0"/>
    </xf>
    <xf numFmtId="10" fontId="0" fillId="0" borderId="0" xfId="0" applyNumberFormat="1" applyFill="1" applyProtection="1">
      <protection locked="0"/>
    </xf>
    <xf numFmtId="167" fontId="20" fillId="0" borderId="9" xfId="7" applyNumberFormat="1" applyFont="1" applyFill="1" applyBorder="1" applyAlignment="1" applyProtection="1">
      <alignment horizontal="left"/>
      <protection locked="0"/>
    </xf>
    <xf numFmtId="37" fontId="20" fillId="0" borderId="0" xfId="0" applyNumberFormat="1" applyFont="1" applyFill="1" applyBorder="1" applyProtection="1">
      <protection locked="0"/>
    </xf>
    <xf numFmtId="37" fontId="0" fillId="0" borderId="0" xfId="0" applyNumberFormat="1" applyProtection="1">
      <protection locked="0"/>
    </xf>
    <xf numFmtId="37" fontId="20" fillId="0" borderId="13" xfId="1" applyNumberFormat="1" applyFont="1" applyFill="1" applyBorder="1" applyProtection="1">
      <protection locked="0"/>
    </xf>
    <xf numFmtId="181" fontId="20" fillId="0" borderId="0" xfId="1" applyNumberFormat="1" applyFont="1" applyFill="1" applyBorder="1" applyProtection="1">
      <protection locked="0"/>
    </xf>
    <xf numFmtId="37" fontId="20" fillId="0" borderId="0" xfId="1" applyNumberFormat="1" applyFont="1" applyFill="1" applyBorder="1" applyProtection="1">
      <protection locked="0"/>
    </xf>
    <xf numFmtId="183" fontId="29" fillId="0" borderId="0" xfId="0" applyFont="1" applyProtection="1">
      <protection locked="0"/>
    </xf>
    <xf numFmtId="181" fontId="20" fillId="0" borderId="13" xfId="1" applyNumberFormat="1" applyFont="1" applyFill="1" applyBorder="1" applyProtection="1">
      <protection locked="0"/>
    </xf>
    <xf numFmtId="181" fontId="20" fillId="0" borderId="19" xfId="1" applyNumberFormat="1" applyFont="1" applyFill="1" applyBorder="1" applyProtection="1">
      <protection locked="0"/>
    </xf>
    <xf numFmtId="181" fontId="20" fillId="0" borderId="13" xfId="1" applyNumberFormat="1" applyFont="1" applyBorder="1" applyProtection="1">
      <protection locked="0"/>
    </xf>
    <xf numFmtId="184" fontId="0" fillId="0" borderId="0" xfId="0" applyNumberFormat="1" applyProtection="1">
      <protection locked="0"/>
    </xf>
    <xf numFmtId="167" fontId="20" fillId="0" borderId="0" xfId="0" applyNumberFormat="1" applyFont="1" applyBorder="1" applyProtection="1">
      <protection locked="0"/>
    </xf>
    <xf numFmtId="185" fontId="20" fillId="0" borderId="0" xfId="7" applyNumberFormat="1" applyFont="1" applyFill="1" applyBorder="1" applyAlignment="1" applyProtection="1">
      <alignment horizontal="right"/>
      <protection locked="0"/>
    </xf>
    <xf numFmtId="183" fontId="20" fillId="0" borderId="6" xfId="0" applyFont="1" applyFill="1" applyBorder="1" applyProtection="1">
      <protection locked="0"/>
    </xf>
    <xf numFmtId="183" fontId="26" fillId="0" borderId="3" xfId="0" applyFont="1" applyFill="1" applyBorder="1" applyAlignment="1" applyProtection="1">
      <alignment horizontal="center"/>
      <protection locked="0"/>
    </xf>
    <xf numFmtId="183" fontId="20" fillId="0" borderId="9" xfId="0" applyFont="1" applyFill="1" applyBorder="1" applyAlignment="1" applyProtection="1">
      <alignment horizontal="center"/>
      <protection locked="0"/>
    </xf>
    <xf numFmtId="165" fontId="0" fillId="0" borderId="0" xfId="1" applyFont="1" applyProtection="1">
      <protection locked="0"/>
    </xf>
    <xf numFmtId="37" fontId="20" fillId="0" borderId="6" xfId="0" applyNumberFormat="1" applyFont="1" applyFill="1" applyBorder="1" applyProtection="1">
      <protection locked="0"/>
    </xf>
    <xf numFmtId="168" fontId="20" fillId="0" borderId="6" xfId="1" applyNumberFormat="1" applyFont="1" applyFill="1" applyBorder="1" applyProtection="1">
      <protection locked="0"/>
    </xf>
    <xf numFmtId="181" fontId="20" fillId="0" borderId="6" xfId="1" applyNumberFormat="1" applyFont="1" applyFill="1" applyBorder="1" applyProtection="1">
      <protection locked="0"/>
    </xf>
    <xf numFmtId="183" fontId="0" fillId="0" borderId="0" xfId="0" applyProtection="1"/>
    <xf numFmtId="183" fontId="0" fillId="0" borderId="0" xfId="0" applyBorder="1" applyProtection="1"/>
    <xf numFmtId="183" fontId="17" fillId="0" borderId="0" xfId="0" applyFont="1" applyProtection="1"/>
    <xf numFmtId="183" fontId="20" fillId="0" borderId="11" xfId="0" applyFont="1" applyBorder="1" applyProtection="1"/>
    <xf numFmtId="183" fontId="27" fillId="0" borderId="4" xfId="0" applyFont="1" applyFill="1" applyBorder="1" applyAlignment="1" applyProtection="1">
      <alignment horizontal="center"/>
    </xf>
    <xf numFmtId="183" fontId="20" fillId="0" borderId="10" xfId="0" applyFont="1" applyBorder="1" applyProtection="1"/>
    <xf numFmtId="168" fontId="20" fillId="0" borderId="12" xfId="1" applyNumberFormat="1" applyFont="1" applyFill="1" applyBorder="1" applyProtection="1"/>
    <xf numFmtId="167" fontId="20" fillId="0" borderId="14" xfId="7" applyNumberFormat="1" applyFont="1" applyFill="1" applyBorder="1" applyAlignment="1" applyProtection="1">
      <alignment horizontal="right"/>
    </xf>
    <xf numFmtId="168" fontId="20" fillId="0" borderId="5" xfId="1" applyNumberFormat="1" applyFont="1" applyFill="1" applyBorder="1" applyProtection="1"/>
    <xf numFmtId="167" fontId="20" fillId="0" borderId="1" xfId="7" applyNumberFormat="1" applyFont="1" applyFill="1" applyBorder="1" applyAlignment="1" applyProtection="1">
      <alignment horizontal="right"/>
    </xf>
    <xf numFmtId="183" fontId="20" fillId="0" borderId="0" xfId="0" applyFont="1" applyProtection="1"/>
    <xf numFmtId="166" fontId="20" fillId="0" borderId="0" xfId="0" applyNumberFormat="1" applyFont="1" applyFill="1" applyBorder="1" applyProtection="1"/>
    <xf numFmtId="181" fontId="20" fillId="0" borderId="12" xfId="1" applyNumberFormat="1" applyFont="1" applyFill="1" applyBorder="1" applyProtection="1"/>
    <xf numFmtId="37" fontId="20" fillId="0" borderId="10" xfId="1" applyNumberFormat="1" applyFont="1" applyFill="1" applyBorder="1" applyProtection="1"/>
    <xf numFmtId="183" fontId="26" fillId="0" borderId="0" xfId="0" applyFont="1" applyProtection="1"/>
    <xf numFmtId="181" fontId="20" fillId="0" borderId="10" xfId="1" applyNumberFormat="1" applyFont="1" applyFill="1" applyBorder="1" applyProtection="1"/>
    <xf numFmtId="183" fontId="38" fillId="0" borderId="0" xfId="0" applyFont="1" applyProtection="1"/>
    <xf numFmtId="181" fontId="20" fillId="0" borderId="16" xfId="1" applyNumberFormat="1" applyFont="1" applyFill="1" applyBorder="1" applyProtection="1"/>
    <xf numFmtId="167" fontId="20" fillId="0" borderId="17" xfId="7" applyNumberFormat="1" applyFont="1" applyFill="1" applyBorder="1" applyAlignment="1" applyProtection="1">
      <alignment horizontal="right"/>
    </xf>
    <xf numFmtId="183" fontId="20" fillId="0" borderId="0" xfId="0" applyFont="1" applyFill="1" applyProtection="1"/>
    <xf numFmtId="176" fontId="20" fillId="0" borderId="0" xfId="0" applyNumberFormat="1" applyFont="1" applyFill="1" applyBorder="1" applyAlignment="1" applyProtection="1">
      <alignment horizontal="right"/>
    </xf>
    <xf numFmtId="167" fontId="20" fillId="0" borderId="0" xfId="0" applyNumberFormat="1" applyFont="1" applyProtection="1"/>
    <xf numFmtId="167" fontId="20" fillId="0" borderId="0" xfId="0" applyNumberFormat="1" applyFont="1" applyFill="1" applyProtection="1"/>
    <xf numFmtId="181" fontId="20" fillId="0" borderId="0" xfId="1" applyNumberFormat="1" applyFont="1" applyFill="1" applyBorder="1" applyAlignment="1" applyProtection="1">
      <alignment horizontal="right"/>
    </xf>
    <xf numFmtId="174" fontId="20" fillId="0" borderId="0" xfId="1" applyNumberFormat="1" applyFont="1" applyFill="1" applyBorder="1" applyProtection="1"/>
    <xf numFmtId="183" fontId="19" fillId="0" borderId="0" xfId="0" applyFont="1" applyProtection="1"/>
    <xf numFmtId="183" fontId="20" fillId="0" borderId="0" xfId="0" applyFont="1" applyBorder="1" applyProtection="1"/>
    <xf numFmtId="168" fontId="20" fillId="0" borderId="10" xfId="0" applyNumberFormat="1" applyFont="1" applyFill="1" applyBorder="1" applyProtection="1"/>
    <xf numFmtId="167" fontId="20" fillId="0" borderId="4" xfId="7" applyNumberFormat="1" applyFont="1" applyFill="1" applyBorder="1" applyAlignment="1" applyProtection="1">
      <alignment horizontal="right"/>
    </xf>
    <xf numFmtId="168" fontId="20" fillId="0" borderId="5" xfId="0" applyNumberFormat="1" applyFont="1" applyFill="1" applyBorder="1" applyProtection="1"/>
    <xf numFmtId="167" fontId="42"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1" fontId="0" fillId="0" borderId="0" xfId="1" applyNumberFormat="1" applyFont="1" applyBorder="1" applyProtection="1"/>
    <xf numFmtId="170" fontId="0" fillId="0" borderId="0" xfId="7" applyNumberFormat="1" applyFont="1" applyBorder="1" applyProtection="1"/>
    <xf numFmtId="183" fontId="0" fillId="0" borderId="0" xfId="0" applyBorder="1" applyAlignment="1" applyProtection="1"/>
    <xf numFmtId="183" fontId="0" fillId="0" borderId="4" xfId="0" applyBorder="1" applyProtection="1"/>
    <xf numFmtId="183" fontId="0" fillId="0" borderId="2" xfId="0" applyBorder="1" applyProtection="1"/>
    <xf numFmtId="183" fontId="0" fillId="0" borderId="3" xfId="0" applyBorder="1" applyProtection="1"/>
    <xf numFmtId="183" fontId="0" fillId="0" borderId="7" xfId="0" applyBorder="1" applyProtection="1"/>
    <xf numFmtId="183" fontId="0" fillId="0" borderId="9" xfId="0" applyBorder="1" applyProtection="1"/>
    <xf numFmtId="183" fontId="0" fillId="0" borderId="10" xfId="0" applyBorder="1" applyProtection="1"/>
    <xf numFmtId="183" fontId="26" fillId="0" borderId="8" xfId="0" applyFont="1" applyBorder="1" applyAlignment="1" applyProtection="1">
      <alignment horizontal="center"/>
    </xf>
    <xf numFmtId="183" fontId="19" fillId="0" borderId="3" xfId="0" applyFont="1" applyFill="1" applyBorder="1" applyAlignment="1" applyProtection="1">
      <alignment horizontal="center"/>
    </xf>
    <xf numFmtId="183" fontId="19" fillId="0" borderId="4" xfId="0" applyFont="1" applyFill="1" applyBorder="1" applyAlignment="1" applyProtection="1">
      <alignment horizontal="center"/>
    </xf>
    <xf numFmtId="183" fontId="19" fillId="0" borderId="2" xfId="0" applyFont="1" applyFill="1" applyBorder="1" applyAlignment="1" applyProtection="1">
      <alignment horizontal="center"/>
    </xf>
    <xf numFmtId="183" fontId="26" fillId="0" borderId="11" xfId="0" applyFont="1" applyFill="1" applyBorder="1" applyAlignment="1" applyProtection="1">
      <alignment horizontal="center"/>
    </xf>
    <xf numFmtId="183" fontId="19" fillId="0" borderId="7" xfId="0" applyFont="1" applyFill="1" applyBorder="1" applyAlignment="1" applyProtection="1">
      <alignment horizontal="center"/>
    </xf>
    <xf numFmtId="183" fontId="26" fillId="0" borderId="9" xfId="0" applyFont="1" applyBorder="1" applyAlignment="1" applyProtection="1">
      <alignment horizontal="center"/>
    </xf>
    <xf numFmtId="183" fontId="20" fillId="0" borderId="9" xfId="0" applyFont="1" applyBorder="1" applyProtection="1"/>
    <xf numFmtId="37" fontId="20" fillId="0" borderId="0" xfId="7" applyNumberFormat="1" applyFont="1" applyFill="1" applyBorder="1" applyAlignment="1" applyProtection="1">
      <alignment horizontal="right"/>
    </xf>
    <xf numFmtId="37" fontId="20" fillId="0" borderId="11" xfId="1" applyNumberFormat="1" applyFont="1" applyFill="1" applyBorder="1" applyProtection="1"/>
    <xf numFmtId="168" fontId="20" fillId="0" borderId="0" xfId="0" applyNumberFormat="1" applyFont="1" applyProtection="1"/>
    <xf numFmtId="168" fontId="20" fillId="0" borderId="11" xfId="0" applyNumberFormat="1" applyFont="1" applyBorder="1" applyProtection="1"/>
    <xf numFmtId="168" fontId="20" fillId="0" borderId="9" xfId="0" applyNumberFormat="1" applyFont="1" applyBorder="1" applyProtection="1"/>
    <xf numFmtId="37" fontId="20" fillId="0" borderId="0" xfId="0" applyNumberFormat="1" applyFont="1" applyBorder="1" applyProtection="1"/>
    <xf numFmtId="168" fontId="20" fillId="0" borderId="0" xfId="0" applyNumberFormat="1" applyFont="1" applyBorder="1" applyProtection="1"/>
    <xf numFmtId="37" fontId="20" fillId="0" borderId="9" xfId="1" applyNumberFormat="1" applyFont="1" applyFill="1" applyBorder="1" applyProtection="1"/>
    <xf numFmtId="167" fontId="20" fillId="0" borderId="11" xfId="0" applyNumberFormat="1" applyFont="1" applyBorder="1" applyProtection="1"/>
    <xf numFmtId="37" fontId="20" fillId="0" borderId="13" xfId="7" applyNumberFormat="1" applyFont="1" applyFill="1" applyBorder="1" applyAlignment="1" applyProtection="1">
      <alignment horizontal="right"/>
    </xf>
    <xf numFmtId="37" fontId="20" fillId="0" borderId="14" xfId="7" applyNumberFormat="1" applyFont="1" applyFill="1" applyBorder="1" applyAlignment="1" applyProtection="1">
      <alignment horizontal="right"/>
    </xf>
    <xf numFmtId="37" fontId="20" fillId="0" borderId="14" xfId="1" applyNumberFormat="1" applyFont="1" applyFill="1" applyBorder="1" applyProtection="1"/>
    <xf numFmtId="168" fontId="20" fillId="0" borderId="13" xfId="0" applyNumberFormat="1" applyFont="1" applyBorder="1" applyProtection="1"/>
    <xf numFmtId="168" fontId="20" fillId="0" borderId="14" xfId="0" applyNumberFormat="1" applyFont="1" applyBorder="1" applyProtection="1"/>
    <xf numFmtId="168" fontId="20" fillId="0" borderId="15" xfId="0" applyNumberFormat="1" applyFont="1" applyBorder="1" applyProtection="1"/>
    <xf numFmtId="167" fontId="20" fillId="0" borderId="14" xfId="0" applyNumberFormat="1" applyFont="1" applyBorder="1" applyProtection="1"/>
    <xf numFmtId="37" fontId="20" fillId="0" borderId="15" xfId="1" applyNumberFormat="1" applyFont="1" applyFill="1" applyBorder="1" applyProtection="1"/>
    <xf numFmtId="168" fontId="20" fillId="0" borderId="15" xfId="1" applyNumberFormat="1" applyFont="1" applyFill="1" applyBorder="1" applyProtection="1"/>
    <xf numFmtId="181" fontId="20" fillId="0" borderId="11" xfId="1" applyNumberFormat="1" applyFont="1" applyFill="1" applyBorder="1" applyProtection="1"/>
    <xf numFmtId="181" fontId="20" fillId="0" borderId="0" xfId="1" applyNumberFormat="1" applyFont="1" applyBorder="1" applyProtection="1"/>
    <xf numFmtId="181" fontId="20" fillId="0" borderId="0" xfId="1" applyNumberFormat="1" applyFont="1" applyProtection="1"/>
    <xf numFmtId="181" fontId="20" fillId="0" borderId="11" xfId="1" applyNumberFormat="1" applyFont="1" applyBorder="1" applyProtection="1"/>
    <xf numFmtId="181" fontId="20" fillId="0" borderId="9" xfId="1" applyNumberFormat="1" applyFont="1" applyBorder="1" applyProtection="1"/>
    <xf numFmtId="37" fontId="20" fillId="0" borderId="6" xfId="7" applyNumberFormat="1" applyFont="1" applyFill="1" applyBorder="1" applyAlignment="1" applyProtection="1">
      <alignment horizontal="right"/>
    </xf>
    <xf numFmtId="37" fontId="20" fillId="0" borderId="1" xfId="1" applyNumberFormat="1" applyFont="1" applyFill="1" applyBorder="1" applyProtection="1"/>
    <xf numFmtId="181" fontId="20" fillId="0" borderId="6" xfId="1" applyNumberFormat="1" applyFont="1" applyFill="1" applyBorder="1" applyAlignment="1" applyProtection="1">
      <alignment horizontal="right"/>
    </xf>
    <xf numFmtId="181" fontId="20" fillId="0" borderId="1" xfId="1" applyNumberFormat="1" applyFont="1" applyFill="1" applyBorder="1" applyProtection="1"/>
    <xf numFmtId="181" fontId="20" fillId="0" borderId="6" xfId="1" applyNumberFormat="1" applyFont="1" applyBorder="1" applyProtection="1"/>
    <xf numFmtId="37" fontId="20" fillId="0" borderId="6" xfId="0" applyNumberFormat="1" applyFont="1" applyBorder="1" applyProtection="1"/>
    <xf numFmtId="168" fontId="20" fillId="0" borderId="6" xfId="0" applyNumberFormat="1" applyFont="1" applyBorder="1" applyProtection="1"/>
    <xf numFmtId="37" fontId="20" fillId="0" borderId="8" xfId="1" applyNumberFormat="1" applyFont="1" applyFill="1" applyBorder="1" applyProtection="1"/>
    <xf numFmtId="37" fontId="20" fillId="0" borderId="11" xfId="7" applyNumberFormat="1" applyFont="1" applyFill="1" applyBorder="1" applyAlignment="1" applyProtection="1">
      <alignment horizontal="right"/>
    </xf>
    <xf numFmtId="168" fontId="20" fillId="0" borderId="0" xfId="0" applyNumberFormat="1" applyFont="1" applyFill="1" applyProtection="1"/>
    <xf numFmtId="168" fontId="20" fillId="0" borderId="11" xfId="0" applyNumberFormat="1" applyFont="1" applyFill="1" applyBorder="1" applyProtection="1"/>
    <xf numFmtId="168" fontId="20" fillId="0" borderId="9" xfId="0" applyNumberFormat="1" applyFont="1" applyFill="1" applyBorder="1" applyProtection="1"/>
    <xf numFmtId="37" fontId="20" fillId="0" borderId="0" xfId="0" applyNumberFormat="1" applyFont="1" applyFill="1" applyBorder="1" applyProtection="1"/>
    <xf numFmtId="165" fontId="20" fillId="0" borderId="9" xfId="1" applyFont="1" applyFill="1" applyBorder="1" applyProtection="1"/>
    <xf numFmtId="168" fontId="20" fillId="0" borderId="10" xfId="0" applyNumberFormat="1" applyFont="1" applyBorder="1" applyProtection="1"/>
    <xf numFmtId="37" fontId="20" fillId="0" borderId="9" xfId="0" applyNumberFormat="1" applyFont="1" applyFill="1" applyBorder="1" applyProtection="1"/>
    <xf numFmtId="181" fontId="20" fillId="0" borderId="9" xfId="1" applyNumberFormat="1" applyFont="1" applyFill="1" applyBorder="1" applyProtection="1"/>
    <xf numFmtId="37" fontId="20" fillId="0" borderId="13" xfId="1" applyNumberFormat="1" applyFont="1" applyFill="1" applyBorder="1" applyProtection="1"/>
    <xf numFmtId="168" fontId="20" fillId="0" borderId="13" xfId="0" applyNumberFormat="1" applyFont="1" applyFill="1" applyBorder="1" applyProtection="1"/>
    <xf numFmtId="168" fontId="20" fillId="0" borderId="14" xfId="0" applyNumberFormat="1" applyFont="1" applyFill="1" applyBorder="1" applyProtection="1"/>
    <xf numFmtId="168" fontId="20" fillId="0" borderId="15" xfId="0" applyNumberFormat="1" applyFont="1" applyFill="1" applyBorder="1" applyProtection="1"/>
    <xf numFmtId="167" fontId="20" fillId="0" borderId="14" xfId="0" applyNumberFormat="1" applyFont="1" applyBorder="1" applyAlignment="1" applyProtection="1">
      <alignment horizontal="right"/>
    </xf>
    <xf numFmtId="181" fontId="20" fillId="0" borderId="15" xfId="1" applyNumberFormat="1" applyFont="1" applyFill="1" applyBorder="1" applyProtection="1"/>
    <xf numFmtId="167" fontId="20" fillId="0" borderId="11" xfId="0" applyNumberFormat="1" applyFont="1" applyBorder="1" applyAlignment="1" applyProtection="1">
      <alignment horizontal="right"/>
    </xf>
    <xf numFmtId="181" fontId="20" fillId="0" borderId="0" xfId="1" applyNumberFormat="1" applyFont="1" applyFill="1" applyBorder="1" applyProtection="1"/>
    <xf numFmtId="37" fontId="20" fillId="0" borderId="0" xfId="1" applyNumberFormat="1" applyFont="1" applyFill="1" applyBorder="1" applyProtection="1"/>
    <xf numFmtId="181" fontId="20" fillId="0" borderId="0" xfId="1" applyNumberFormat="1" applyFont="1" applyFill="1" applyProtection="1"/>
    <xf numFmtId="183" fontId="29" fillId="0" borderId="10" xfId="0" applyFont="1" applyBorder="1" applyProtection="1"/>
    <xf numFmtId="37" fontId="20" fillId="0" borderId="11" xfId="0" applyNumberFormat="1" applyFont="1" applyFill="1" applyBorder="1" applyProtection="1"/>
    <xf numFmtId="37" fontId="20" fillId="0" borderId="9" xfId="0" applyNumberFormat="1" applyFont="1" applyBorder="1" applyProtection="1"/>
    <xf numFmtId="181" fontId="20" fillId="0" borderId="8" xfId="1" applyNumberFormat="1" applyFont="1" applyFill="1" applyBorder="1" applyProtection="1"/>
    <xf numFmtId="168" fontId="20" fillId="0" borderId="8" xfId="1" applyNumberFormat="1" applyFont="1" applyFill="1" applyBorder="1" applyProtection="1"/>
    <xf numFmtId="181" fontId="20" fillId="0" borderId="13" xfId="1" applyNumberFormat="1" applyFont="1" applyFill="1" applyBorder="1" applyProtection="1"/>
    <xf numFmtId="181" fontId="20" fillId="0" borderId="14" xfId="1" applyNumberFormat="1" applyFont="1" applyFill="1" applyBorder="1" applyProtection="1"/>
    <xf numFmtId="181" fontId="20" fillId="0" borderId="17" xfId="1" applyNumberFormat="1" applyFont="1" applyFill="1" applyBorder="1" applyProtection="1"/>
    <xf numFmtId="181" fontId="20" fillId="0" borderId="19" xfId="1" applyNumberFormat="1" applyFont="1" applyFill="1" applyBorder="1" applyProtection="1"/>
    <xf numFmtId="181" fontId="20" fillId="0" borderId="18" xfId="1" applyNumberFormat="1" applyFont="1" applyFill="1" applyBorder="1" applyProtection="1"/>
    <xf numFmtId="181" fontId="20" fillId="0" borderId="13" xfId="1" applyNumberFormat="1" applyFont="1" applyBorder="1" applyProtection="1"/>
    <xf numFmtId="168" fontId="20" fillId="0" borderId="18" xfId="1" applyNumberFormat="1" applyFont="1" applyFill="1" applyBorder="1" applyProtection="1"/>
    <xf numFmtId="37" fontId="20" fillId="0" borderId="17" xfId="1" applyNumberFormat="1" applyFont="1" applyFill="1" applyBorder="1" applyProtection="1"/>
    <xf numFmtId="37" fontId="20" fillId="0" borderId="19" xfId="1" applyNumberFormat="1" applyFont="1" applyFill="1" applyBorder="1" applyProtection="1"/>
    <xf numFmtId="168" fontId="20" fillId="0" borderId="19" xfId="0" applyNumberFormat="1" applyFont="1" applyFill="1" applyBorder="1" applyProtection="1"/>
    <xf numFmtId="168" fontId="20" fillId="0" borderId="17" xfId="0" applyNumberFormat="1" applyFont="1" applyFill="1" applyBorder="1" applyProtection="1"/>
    <xf numFmtId="168" fontId="20" fillId="0" borderId="18" xfId="0" applyNumberFormat="1" applyFont="1" applyFill="1" applyBorder="1" applyProtection="1"/>
    <xf numFmtId="168" fontId="20" fillId="0" borderId="8" xfId="0" applyNumberFormat="1" applyFont="1" applyBorder="1" applyProtection="1"/>
    <xf numFmtId="168" fontId="20" fillId="0" borderId="1" xfId="0" applyNumberFormat="1" applyFont="1" applyBorder="1" applyProtection="1"/>
    <xf numFmtId="168" fontId="20" fillId="0" borderId="19" xfId="0" applyNumberFormat="1" applyFont="1" applyBorder="1" applyProtection="1"/>
    <xf numFmtId="168" fontId="20" fillId="0" borderId="17" xfId="0" applyNumberFormat="1" applyFont="1" applyBorder="1" applyProtection="1"/>
    <xf numFmtId="168" fontId="20" fillId="0" borderId="18" xfId="0" applyNumberFormat="1" applyFont="1" applyBorder="1" applyProtection="1"/>
    <xf numFmtId="37" fontId="20" fillId="0" borderId="18" xfId="1" applyNumberFormat="1" applyFont="1" applyFill="1" applyBorder="1" applyProtection="1"/>
    <xf numFmtId="169" fontId="20" fillId="0" borderId="0" xfId="0" applyNumberFormat="1" applyFont="1" applyBorder="1" applyProtection="1"/>
    <xf numFmtId="169" fontId="20" fillId="0" borderId="0" xfId="0" applyNumberFormat="1" applyFont="1" applyFill="1" applyProtection="1"/>
    <xf numFmtId="167" fontId="20" fillId="0" borderId="0" xfId="0" applyNumberFormat="1" applyFont="1" applyBorder="1" applyProtection="1"/>
    <xf numFmtId="167" fontId="20" fillId="0" borderId="0" xfId="1" applyNumberFormat="1" applyFont="1" applyFill="1" applyBorder="1" applyProtection="1"/>
    <xf numFmtId="167" fontId="20" fillId="0" borderId="0" xfId="7" applyNumberFormat="1" applyFont="1" applyFill="1" applyProtection="1"/>
    <xf numFmtId="170" fontId="20" fillId="0" borderId="0" xfId="7" applyNumberFormat="1" applyFont="1" applyFill="1" applyProtection="1"/>
    <xf numFmtId="185" fontId="20" fillId="0" borderId="0" xfId="7" applyNumberFormat="1" applyFont="1" applyFill="1" applyBorder="1" applyAlignment="1" applyProtection="1">
      <alignment horizontal="right"/>
    </xf>
    <xf numFmtId="169" fontId="20" fillId="0" borderId="0" xfId="7" applyNumberFormat="1" applyFont="1" applyFill="1" applyBorder="1" applyProtection="1"/>
    <xf numFmtId="165" fontId="20" fillId="0" borderId="0" xfId="1" applyFont="1" applyFill="1" applyProtection="1"/>
    <xf numFmtId="183" fontId="20" fillId="0" borderId="6" xfId="0" applyFont="1" applyFill="1" applyBorder="1" applyProtection="1"/>
    <xf numFmtId="183" fontId="26" fillId="0" borderId="3" xfId="0" applyFont="1" applyFill="1" applyBorder="1" applyAlignment="1" applyProtection="1">
      <alignment horizontal="center"/>
    </xf>
    <xf numFmtId="183" fontId="20" fillId="0" borderId="4" xfId="0" applyFont="1" applyFill="1" applyBorder="1" applyProtection="1"/>
    <xf numFmtId="183" fontId="20" fillId="0" borderId="3" xfId="0" applyFont="1" applyFill="1" applyBorder="1" applyProtection="1"/>
    <xf numFmtId="183" fontId="20" fillId="0" borderId="2" xfId="0" applyFont="1" applyFill="1" applyBorder="1" applyProtection="1"/>
    <xf numFmtId="183" fontId="20" fillId="0" borderId="0" xfId="0" applyFont="1" applyFill="1" applyBorder="1" applyAlignment="1" applyProtection="1">
      <alignment horizontal="center"/>
    </xf>
    <xf numFmtId="37" fontId="20" fillId="0" borderId="2" xfId="0" applyNumberFormat="1" applyFont="1" applyFill="1" applyBorder="1" applyProtection="1"/>
    <xf numFmtId="37" fontId="20" fillId="0" borderId="4" xfId="0" applyNumberFormat="1" applyFont="1" applyFill="1" applyBorder="1" applyProtection="1"/>
    <xf numFmtId="37" fontId="20" fillId="0" borderId="3" xfId="0" applyNumberFormat="1" applyFont="1" applyFill="1" applyBorder="1" applyProtection="1"/>
    <xf numFmtId="168" fontId="20" fillId="0" borderId="4" xfId="1" applyNumberFormat="1" applyFont="1" applyFill="1" applyBorder="1" applyProtection="1"/>
    <xf numFmtId="168" fontId="20" fillId="0" borderId="3" xfId="0" applyNumberFormat="1" applyFont="1" applyFill="1" applyBorder="1" applyProtection="1"/>
    <xf numFmtId="167" fontId="20" fillId="0" borderId="4" xfId="0" applyNumberFormat="1" applyFont="1" applyFill="1" applyBorder="1" applyProtection="1"/>
    <xf numFmtId="168" fontId="20" fillId="0" borderId="7" xfId="1" applyNumberFormat="1" applyFont="1" applyFill="1" applyBorder="1" applyProtection="1"/>
    <xf numFmtId="37" fontId="20" fillId="0" borderId="10" xfId="0" applyNumberFormat="1" applyFont="1" applyFill="1" applyBorder="1" applyProtection="1"/>
    <xf numFmtId="167" fontId="20" fillId="0" borderId="11" xfId="0" applyNumberFormat="1" applyFont="1" applyFill="1" applyBorder="1" applyProtection="1"/>
    <xf numFmtId="167" fontId="20" fillId="0" borderId="11" xfId="0" applyNumberFormat="1" applyFont="1" applyFill="1" applyBorder="1" applyAlignment="1" applyProtection="1">
      <alignment horizontal="right"/>
    </xf>
    <xf numFmtId="37" fontId="20" fillId="0" borderId="1" xfId="0" applyNumberFormat="1" applyFont="1" applyFill="1" applyBorder="1" applyProtection="1"/>
    <xf numFmtId="37" fontId="20" fillId="0" borderId="6" xfId="0" applyNumberFormat="1" applyFont="1" applyFill="1" applyBorder="1" applyProtection="1"/>
    <xf numFmtId="168" fontId="20" fillId="0" borderId="6" xfId="1" applyNumberFormat="1" applyFont="1" applyFill="1" applyBorder="1" applyProtection="1"/>
    <xf numFmtId="168" fontId="20" fillId="0" borderId="1" xfId="1" applyNumberFormat="1" applyFont="1" applyFill="1" applyBorder="1" applyProtection="1"/>
    <xf numFmtId="181" fontId="25" fillId="0" borderId="9" xfId="1" applyNumberFormat="1" applyFont="1" applyFill="1" applyBorder="1" applyProtection="1"/>
    <xf numFmtId="181" fontId="20" fillId="0" borderId="6" xfId="1" applyNumberFormat="1" applyFont="1" applyFill="1" applyBorder="1" applyProtection="1"/>
    <xf numFmtId="37" fontId="20" fillId="0" borderId="5" xfId="0" applyNumberFormat="1" applyFont="1" applyFill="1" applyBorder="1" applyProtection="1"/>
    <xf numFmtId="37" fontId="20" fillId="0" borderId="8" xfId="0" applyNumberFormat="1" applyFont="1" applyFill="1" applyBorder="1" applyProtection="1"/>
    <xf numFmtId="181" fontId="20" fillId="0" borderId="5" xfId="1" applyNumberFormat="1" applyFont="1" applyFill="1" applyBorder="1" applyProtection="1"/>
    <xf numFmtId="168" fontId="20" fillId="0" borderId="6" xfId="0" applyNumberFormat="1" applyFont="1" applyFill="1" applyBorder="1" applyProtection="1"/>
    <xf numFmtId="167" fontId="20" fillId="0" borderId="1" xfId="0" applyNumberFormat="1" applyFont="1" applyFill="1" applyBorder="1" applyAlignment="1" applyProtection="1">
      <alignment horizontal="right"/>
    </xf>
    <xf numFmtId="185" fontId="20" fillId="0" borderId="0" xfId="1" applyNumberFormat="1" applyFont="1" applyFill="1" applyBorder="1" applyAlignment="1" applyProtection="1">
      <alignment horizontal="right"/>
    </xf>
    <xf numFmtId="183" fontId="0" fillId="0" borderId="0" xfId="0" applyAlignment="1" applyProtection="1"/>
    <xf numFmtId="184" fontId="20" fillId="0" borderId="0" xfId="1" applyNumberFormat="1" applyFont="1" applyFill="1" applyBorder="1" applyProtection="1"/>
    <xf numFmtId="165" fontId="0" fillId="0" borderId="0" xfId="1" applyFont="1" applyFill="1" applyBorder="1" applyProtection="1"/>
    <xf numFmtId="181" fontId="0" fillId="0" borderId="0" xfId="1" applyNumberFormat="1" applyFont="1" applyFill="1" applyProtection="1"/>
    <xf numFmtId="10" fontId="0" fillId="0" borderId="0" xfId="0" applyNumberFormat="1" applyFill="1" applyProtection="1"/>
    <xf numFmtId="181" fontId="0" fillId="0" borderId="0" xfId="1" applyNumberFormat="1" applyFont="1" applyProtection="1"/>
    <xf numFmtId="170" fontId="0" fillId="0" borderId="0" xfId="7" applyNumberFormat="1" applyFont="1" applyProtection="1"/>
    <xf numFmtId="169" fontId="0" fillId="0" borderId="0" xfId="0" applyNumberFormat="1" applyFill="1" applyBorder="1" applyProtection="1"/>
    <xf numFmtId="170" fontId="20" fillId="0" borderId="0" xfId="7" applyNumberFormat="1" applyFont="1" applyBorder="1" applyProtection="1">
      <protection locked="0"/>
    </xf>
    <xf numFmtId="37" fontId="20" fillId="0" borderId="9" xfId="1" applyNumberFormat="1" applyFont="1" applyFill="1" applyBorder="1" applyAlignment="1" applyProtection="1">
      <alignment horizontal="right"/>
      <protection locked="0"/>
    </xf>
    <xf numFmtId="37" fontId="20" fillId="0" borderId="3" xfId="1" applyNumberFormat="1" applyFont="1" applyFill="1" applyBorder="1" applyProtection="1">
      <protection locked="0"/>
    </xf>
    <xf numFmtId="37" fontId="20" fillId="0" borderId="3" xfId="7" applyNumberFormat="1" applyFont="1" applyFill="1" applyBorder="1" applyAlignment="1" applyProtection="1">
      <alignment horizontal="right"/>
      <protection locked="0"/>
    </xf>
    <xf numFmtId="168" fontId="20" fillId="0" borderId="0" xfId="0" applyNumberFormat="1" applyFont="1" applyBorder="1" applyAlignment="1" applyProtection="1">
      <alignment horizontal="right"/>
      <protection locked="0"/>
    </xf>
    <xf numFmtId="181" fontId="20" fillId="0" borderId="13" xfId="1" applyNumberFormat="1" applyFont="1" applyFill="1" applyBorder="1" applyAlignment="1" applyProtection="1">
      <alignment horizontal="right"/>
      <protection locked="0"/>
    </xf>
    <xf numFmtId="37" fontId="20" fillId="0" borderId="13" xfId="1" applyNumberFormat="1" applyFont="1" applyFill="1" applyBorder="1" applyAlignment="1" applyProtection="1">
      <alignment horizontal="right"/>
      <protection locked="0"/>
    </xf>
    <xf numFmtId="37" fontId="20" fillId="0" borderId="0" xfId="1" applyNumberFormat="1" applyFont="1" applyFill="1" applyBorder="1" applyAlignment="1" applyProtection="1">
      <alignment horizontal="right"/>
      <protection locked="0"/>
    </xf>
    <xf numFmtId="183" fontId="29" fillId="0" borderId="0" xfId="0" applyFont="1" applyBorder="1" applyAlignment="1" applyProtection="1">
      <alignment horizontal="right"/>
      <protection locked="0"/>
    </xf>
    <xf numFmtId="183" fontId="29" fillId="0" borderId="0" xfId="0" applyFont="1" applyBorder="1" applyProtection="1">
      <protection locked="0"/>
    </xf>
    <xf numFmtId="181" fontId="20" fillId="0" borderId="3" xfId="1" applyNumberFormat="1" applyFont="1" applyFill="1" applyBorder="1" applyAlignment="1" applyProtection="1">
      <alignment horizontal="right"/>
      <protection locked="0"/>
    </xf>
    <xf numFmtId="37" fontId="20" fillId="0" borderId="3" xfId="1" applyNumberFormat="1" applyFont="1" applyFill="1" applyBorder="1" applyAlignment="1" applyProtection="1">
      <alignment horizontal="right"/>
      <protection locked="0"/>
    </xf>
    <xf numFmtId="183" fontId="20" fillId="0" borderId="9" xfId="0" applyFont="1" applyFill="1" applyBorder="1" applyAlignment="1" applyProtection="1">
      <alignment horizontal="right"/>
      <protection locked="0"/>
    </xf>
    <xf numFmtId="168" fontId="20" fillId="0" borderId="6" xfId="1" applyNumberFormat="1" applyFont="1" applyFill="1" applyBorder="1" applyAlignment="1" applyProtection="1">
      <alignment horizontal="right"/>
      <protection locked="0"/>
    </xf>
    <xf numFmtId="183" fontId="29" fillId="0" borderId="0" xfId="0" applyFont="1" applyFill="1" applyBorder="1" applyProtection="1">
      <protection locked="0"/>
    </xf>
    <xf numFmtId="183" fontId="20" fillId="0" borderId="9" xfId="0" applyFont="1" applyBorder="1" applyAlignment="1" applyProtection="1">
      <alignment horizontal="right"/>
      <protection locked="0"/>
    </xf>
    <xf numFmtId="181" fontId="20" fillId="0" borderId="19" xfId="1" applyNumberFormat="1" applyFont="1" applyFill="1" applyBorder="1" applyAlignment="1" applyProtection="1">
      <alignment horizontal="right"/>
      <protection locked="0"/>
    </xf>
    <xf numFmtId="37" fontId="20" fillId="0" borderId="19" xfId="1" applyNumberFormat="1" applyFont="1" applyFill="1" applyBorder="1" applyAlignment="1" applyProtection="1">
      <alignment horizontal="right"/>
      <protection locked="0"/>
    </xf>
    <xf numFmtId="183" fontId="20" fillId="0" borderId="0" xfId="0" applyFont="1" applyBorder="1" applyAlignment="1" applyProtection="1">
      <alignment horizontal="right"/>
      <protection locked="0"/>
    </xf>
    <xf numFmtId="167" fontId="20" fillId="0" borderId="0" xfId="0" applyNumberFormat="1" applyFont="1" applyBorder="1" applyAlignment="1" applyProtection="1">
      <alignment horizontal="right"/>
      <protection locked="0"/>
    </xf>
    <xf numFmtId="183" fontId="20" fillId="0" borderId="6" xfId="0" applyFont="1" applyBorder="1" applyProtection="1">
      <protection locked="0"/>
    </xf>
    <xf numFmtId="175" fontId="8" fillId="0" borderId="0" xfId="2268" applyNumberFormat="1" applyFont="1" applyProtection="1">
      <protection locked="0"/>
    </xf>
    <xf numFmtId="183" fontId="20" fillId="0" borderId="9" xfId="0" applyFont="1" applyFill="1" applyBorder="1" applyAlignment="1" applyProtection="1">
      <protection locked="0"/>
    </xf>
    <xf numFmtId="37" fontId="20" fillId="0" borderId="13" xfId="0" applyNumberFormat="1" applyFont="1" applyBorder="1" applyProtection="1">
      <protection locked="0"/>
    </xf>
    <xf numFmtId="37" fontId="20" fillId="0" borderId="3" xfId="0" applyNumberFormat="1" applyFont="1" applyBorder="1" applyProtection="1">
      <protection locked="0"/>
    </xf>
    <xf numFmtId="183" fontId="20" fillId="0" borderId="4" xfId="0" applyFont="1" applyBorder="1" applyProtection="1"/>
    <xf numFmtId="167" fontId="20" fillId="0" borderId="11" xfId="7" quotePrefix="1" applyNumberFormat="1" applyFont="1" applyFill="1" applyBorder="1" applyAlignment="1" applyProtection="1">
      <alignment horizontal="right"/>
    </xf>
    <xf numFmtId="167" fontId="20" fillId="0" borderId="14" xfId="7" applyNumberFormat="1" applyFont="1" applyFill="1" applyBorder="1" applyAlignment="1" applyProtection="1"/>
    <xf numFmtId="168" fontId="20" fillId="0" borderId="2" xfId="1" applyNumberFormat="1" applyFont="1" applyFill="1" applyBorder="1" applyProtection="1"/>
    <xf numFmtId="167" fontId="20" fillId="0" borderId="11" xfId="7" applyNumberFormat="1" applyFont="1" applyFill="1" applyBorder="1" applyAlignment="1" applyProtection="1"/>
    <xf numFmtId="183" fontId="20" fillId="0" borderId="0" xfId="0" applyFont="1" applyBorder="1" applyAlignment="1" applyProtection="1">
      <alignment wrapText="1"/>
    </xf>
    <xf numFmtId="167" fontId="20" fillId="0" borderId="4" xfId="7" applyNumberFormat="1" applyFont="1" applyFill="1" applyBorder="1" applyAlignment="1" applyProtection="1"/>
    <xf numFmtId="168" fontId="20" fillId="0" borderId="16" xfId="1" applyNumberFormat="1" applyFont="1" applyFill="1" applyBorder="1" applyProtection="1"/>
    <xf numFmtId="167" fontId="38" fillId="0" borderId="0" xfId="0" applyNumberFormat="1" applyFont="1" applyFill="1" applyProtection="1"/>
    <xf numFmtId="176" fontId="20" fillId="0" borderId="0" xfId="0" applyNumberFormat="1" applyFont="1" applyProtection="1"/>
    <xf numFmtId="167" fontId="17" fillId="0" borderId="0" xfId="0" applyNumberFormat="1" applyFont="1" applyBorder="1" applyProtection="1"/>
    <xf numFmtId="167" fontId="22" fillId="0" borderId="0" xfId="0" applyNumberFormat="1" applyFont="1" applyBorder="1" applyProtection="1"/>
    <xf numFmtId="168" fontId="20" fillId="0" borderId="12" xfId="0" applyNumberFormat="1" applyFont="1" applyFill="1" applyBorder="1" applyProtection="1"/>
    <xf numFmtId="167" fontId="20" fillId="0" borderId="14" xfId="0" applyNumberFormat="1" applyFont="1" applyFill="1" applyBorder="1" applyProtection="1"/>
    <xf numFmtId="168" fontId="20" fillId="0" borderId="2" xfId="0" applyNumberFormat="1" applyFont="1" applyFill="1" applyBorder="1" applyProtection="1"/>
    <xf numFmtId="167" fontId="20" fillId="0" borderId="1" xfId="0" applyNumberFormat="1" applyFont="1" applyFill="1" applyBorder="1" applyProtection="1"/>
    <xf numFmtId="183" fontId="20" fillId="0" borderId="0" xfId="0" applyFont="1" applyBorder="1" applyAlignment="1" applyProtection="1">
      <alignment horizontal="left" indent="1"/>
    </xf>
    <xf numFmtId="165" fontId="15" fillId="0" borderId="0" xfId="1" applyFont="1" applyBorder="1" applyProtection="1"/>
    <xf numFmtId="165" fontId="0" fillId="0" borderId="0" xfId="1" applyFont="1" applyBorder="1" applyProtection="1"/>
    <xf numFmtId="0" fontId="18" fillId="0" borderId="0" xfId="1" applyNumberFormat="1" applyFont="1" applyFill="1" applyBorder="1" applyAlignment="1" applyProtection="1">
      <alignment horizontal="left"/>
    </xf>
    <xf numFmtId="2" fontId="0" fillId="0" borderId="0" xfId="7" applyNumberFormat="1" applyFont="1" applyBorder="1" applyProtection="1"/>
    <xf numFmtId="165" fontId="18" fillId="0" borderId="0" xfId="1" applyFont="1" applyFill="1" applyBorder="1" applyAlignment="1" applyProtection="1">
      <alignment horizontal="left"/>
    </xf>
    <xf numFmtId="170" fontId="20" fillId="0" borderId="0" xfId="7" applyNumberFormat="1" applyFont="1" applyBorder="1" applyProtection="1"/>
    <xf numFmtId="170" fontId="0" fillId="0" borderId="6" xfId="7" applyNumberFormat="1" applyFont="1" applyFill="1" applyBorder="1" applyProtection="1"/>
    <xf numFmtId="170" fontId="0" fillId="0" borderId="0" xfId="7" applyNumberFormat="1" applyFont="1" applyBorder="1" applyAlignment="1" applyProtection="1"/>
    <xf numFmtId="183" fontId="19" fillId="0" borderId="12" xfId="0" applyFont="1" applyFill="1" applyBorder="1" applyAlignment="1" applyProtection="1">
      <alignment horizontal="center"/>
    </xf>
    <xf numFmtId="183" fontId="19" fillId="0" borderId="15" xfId="0" applyFont="1" applyFill="1" applyBorder="1" applyAlignment="1" applyProtection="1">
      <alignment horizontal="center"/>
    </xf>
    <xf numFmtId="175" fontId="20" fillId="0" borderId="7" xfId="1" applyNumberFormat="1" applyFont="1" applyFill="1" applyBorder="1" applyProtection="1"/>
    <xf numFmtId="175" fontId="20" fillId="0" borderId="2" xfId="1" applyNumberFormat="1" applyFont="1" applyFill="1" applyBorder="1" applyProtection="1"/>
    <xf numFmtId="37" fontId="20" fillId="0" borderId="9" xfId="1" applyNumberFormat="1" applyFont="1" applyFill="1" applyBorder="1" applyAlignment="1" applyProtection="1">
      <alignment horizontal="right"/>
    </xf>
    <xf numFmtId="37" fontId="20" fillId="0" borderId="10" xfId="7" applyNumberFormat="1" applyFont="1" applyFill="1" applyBorder="1" applyAlignment="1" applyProtection="1">
      <alignment horizontal="right"/>
    </xf>
    <xf numFmtId="166" fontId="20" fillId="0" borderId="11" xfId="1" applyNumberFormat="1" applyFont="1" applyFill="1" applyBorder="1" applyProtection="1"/>
    <xf numFmtId="166" fontId="20" fillId="0" borderId="0" xfId="0" applyNumberFormat="1" applyFont="1" applyProtection="1"/>
    <xf numFmtId="37" fontId="20" fillId="0" borderId="8" xfId="1" applyNumberFormat="1" applyFont="1" applyFill="1" applyBorder="1" applyAlignment="1" applyProtection="1">
      <alignment horizontal="right"/>
    </xf>
    <xf numFmtId="37" fontId="20" fillId="0" borderId="3" xfId="1" applyNumberFormat="1" applyFont="1" applyFill="1" applyBorder="1" applyProtection="1"/>
    <xf numFmtId="37" fontId="20" fillId="0" borderId="4" xfId="1" applyNumberFormat="1" applyFont="1" applyFill="1" applyBorder="1" applyProtection="1"/>
    <xf numFmtId="37" fontId="20" fillId="0" borderId="5" xfId="7" applyNumberFormat="1" applyFont="1" applyFill="1" applyBorder="1" applyAlignment="1" applyProtection="1">
      <alignment horizontal="right"/>
    </xf>
    <xf numFmtId="37" fontId="20" fillId="0" borderId="12" xfId="1" applyNumberFormat="1" applyFont="1" applyFill="1" applyBorder="1" applyProtection="1"/>
    <xf numFmtId="168" fontId="20" fillId="0" borderId="13" xfId="1" applyNumberFormat="1" applyFont="1" applyFill="1" applyBorder="1" applyProtection="1"/>
    <xf numFmtId="37" fontId="20" fillId="0" borderId="15" xfId="1" applyNumberFormat="1" applyFont="1" applyFill="1" applyBorder="1" applyAlignment="1" applyProtection="1">
      <alignment horizontal="right"/>
    </xf>
    <xf numFmtId="37" fontId="20" fillId="0" borderId="3" xfId="7" applyNumberFormat="1" applyFont="1" applyFill="1" applyBorder="1" applyAlignment="1" applyProtection="1">
      <alignment horizontal="right"/>
    </xf>
    <xf numFmtId="37" fontId="20" fillId="0" borderId="2" xfId="7" applyNumberFormat="1" applyFont="1" applyFill="1" applyBorder="1" applyAlignment="1" applyProtection="1">
      <alignment horizontal="right"/>
    </xf>
    <xf numFmtId="37" fontId="20" fillId="0" borderId="9" xfId="0" applyNumberFormat="1" applyFont="1" applyBorder="1" applyAlignment="1" applyProtection="1">
      <alignment horizontal="right"/>
    </xf>
    <xf numFmtId="168" fontId="20" fillId="0" borderId="0" xfId="0" applyNumberFormat="1" applyFont="1" applyFill="1" applyBorder="1" applyAlignment="1" applyProtection="1">
      <alignment horizontal="right"/>
    </xf>
    <xf numFmtId="168" fontId="20" fillId="0" borderId="10" xfId="0" applyNumberFormat="1" applyFont="1" applyFill="1" applyBorder="1" applyAlignment="1" applyProtection="1">
      <alignment horizontal="right"/>
    </xf>
    <xf numFmtId="168" fontId="20" fillId="0" borderId="11" xfId="0" applyNumberFormat="1" applyFont="1" applyFill="1" applyBorder="1" applyAlignment="1" applyProtection="1">
      <alignment horizontal="right"/>
    </xf>
    <xf numFmtId="168" fontId="20" fillId="0" borderId="5" xfId="0" applyNumberFormat="1" applyFont="1" applyFill="1" applyBorder="1" applyAlignment="1" applyProtection="1">
      <alignment horizontal="right"/>
    </xf>
    <xf numFmtId="168" fontId="20" fillId="0" borderId="9" xfId="0" applyNumberFormat="1" applyFont="1" applyBorder="1" applyAlignment="1" applyProtection="1">
      <alignment horizontal="right"/>
    </xf>
    <xf numFmtId="37" fontId="20" fillId="0" borderId="9" xfId="0" applyNumberFormat="1" applyFont="1" applyFill="1" applyBorder="1" applyAlignment="1" applyProtection="1">
      <alignment horizontal="right"/>
    </xf>
    <xf numFmtId="168" fontId="20" fillId="0" borderId="0" xfId="0" applyNumberFormat="1" applyFont="1" applyBorder="1" applyAlignment="1" applyProtection="1">
      <alignment horizontal="right"/>
    </xf>
    <xf numFmtId="180" fontId="20" fillId="0" borderId="0" xfId="1" applyNumberFormat="1" applyFont="1" applyFill="1" applyBorder="1" applyProtection="1"/>
    <xf numFmtId="180" fontId="20" fillId="0" borderId="0" xfId="1" applyNumberFormat="1" applyFont="1" applyBorder="1" applyProtection="1"/>
    <xf numFmtId="168" fontId="20" fillId="0" borderId="8" xfId="0" applyNumberFormat="1" applyFont="1" applyBorder="1" applyAlignment="1" applyProtection="1">
      <alignment horizontal="right"/>
    </xf>
    <xf numFmtId="37" fontId="20" fillId="0" borderId="2" xfId="1" applyNumberFormat="1" applyFont="1" applyFill="1" applyBorder="1" applyProtection="1"/>
    <xf numFmtId="181" fontId="20" fillId="0" borderId="7" xfId="1" applyNumberFormat="1" applyFont="1" applyFill="1" applyBorder="1" applyAlignment="1" applyProtection="1">
      <alignment horizontal="right"/>
    </xf>
    <xf numFmtId="37" fontId="20" fillId="0" borderId="14" xfId="1" applyNumberFormat="1" applyFont="1" applyFill="1" applyBorder="1" applyAlignment="1" applyProtection="1">
      <alignment horizontal="right"/>
    </xf>
    <xf numFmtId="37" fontId="20" fillId="0" borderId="13" xfId="1" applyNumberFormat="1" applyFont="1" applyFill="1" applyBorder="1" applyAlignment="1" applyProtection="1">
      <alignment horizontal="right"/>
    </xf>
    <xf numFmtId="181" fontId="20" fillId="0" borderId="13" xfId="1" applyNumberFormat="1" applyFont="1" applyFill="1" applyBorder="1" applyAlignment="1" applyProtection="1">
      <alignment horizontal="right"/>
    </xf>
    <xf numFmtId="181" fontId="20" fillId="0" borderId="10" xfId="1" applyNumberFormat="1" applyFont="1" applyFill="1" applyBorder="1" applyAlignment="1" applyProtection="1">
      <alignment horizontal="right"/>
    </xf>
    <xf numFmtId="37" fontId="20" fillId="0" borderId="11" xfId="1" applyNumberFormat="1" applyFont="1" applyFill="1" applyBorder="1" applyAlignment="1" applyProtection="1">
      <alignment horizontal="right"/>
    </xf>
    <xf numFmtId="37" fontId="20" fillId="0" borderId="0" xfId="1" applyNumberFormat="1" applyFont="1" applyFill="1" applyBorder="1" applyAlignment="1" applyProtection="1">
      <alignment horizontal="right"/>
    </xf>
    <xf numFmtId="37" fontId="20" fillId="0" borderId="4" xfId="1" applyNumberFormat="1" applyFont="1" applyFill="1" applyBorder="1" applyAlignment="1" applyProtection="1">
      <alignment horizontal="right"/>
    </xf>
    <xf numFmtId="37" fontId="20" fillId="0" borderId="12" xfId="1" applyNumberFormat="1" applyFont="1" applyFill="1" applyBorder="1" applyAlignment="1" applyProtection="1">
      <alignment horizontal="right"/>
    </xf>
    <xf numFmtId="181" fontId="20" fillId="0" borderId="14" xfId="1" applyNumberFormat="1" applyFont="1" applyFill="1" applyBorder="1" applyAlignment="1" applyProtection="1">
      <alignment horizontal="right"/>
    </xf>
    <xf numFmtId="181" fontId="20" fillId="0" borderId="12" xfId="1" applyNumberFormat="1" applyFont="1" applyFill="1" applyBorder="1" applyAlignment="1" applyProtection="1">
      <alignment horizontal="right"/>
    </xf>
    <xf numFmtId="37" fontId="20" fillId="0" borderId="10" xfId="1" applyNumberFormat="1" applyFont="1" applyFill="1" applyBorder="1" applyAlignment="1" applyProtection="1">
      <alignment horizontal="right"/>
    </xf>
    <xf numFmtId="181" fontId="20" fillId="0" borderId="15" xfId="1" applyNumberFormat="1" applyFont="1" applyFill="1" applyBorder="1" applyAlignment="1" applyProtection="1">
      <alignment horizontal="right"/>
    </xf>
    <xf numFmtId="168" fontId="20" fillId="0" borderId="19" xfId="1" applyNumberFormat="1" applyFont="1" applyFill="1" applyBorder="1" applyAlignment="1" applyProtection="1">
      <alignment horizontal="right"/>
    </xf>
    <xf numFmtId="183" fontId="29" fillId="0" borderId="10" xfId="0" applyFont="1" applyBorder="1" applyAlignment="1" applyProtection="1">
      <alignment horizontal="right"/>
    </xf>
    <xf numFmtId="37" fontId="20" fillId="0" borderId="3" xfId="1" applyNumberFormat="1" applyFont="1" applyFill="1" applyBorder="1" applyAlignment="1" applyProtection="1">
      <alignment horizontal="right"/>
    </xf>
    <xf numFmtId="181" fontId="20" fillId="0" borderId="3" xfId="1" applyNumberFormat="1" applyFont="1" applyFill="1" applyBorder="1" applyAlignment="1" applyProtection="1">
      <alignment horizontal="right"/>
    </xf>
    <xf numFmtId="181" fontId="20" fillId="0" borderId="11" xfId="1" applyNumberFormat="1" applyFont="1" applyFill="1" applyBorder="1" applyAlignment="1" applyProtection="1">
      <alignment horizontal="right"/>
    </xf>
    <xf numFmtId="37" fontId="20" fillId="0" borderId="0" xfId="1" applyNumberFormat="1" applyFont="1" applyFill="1" applyBorder="1" applyAlignment="1" applyProtection="1">
      <alignment horizontal="center"/>
    </xf>
    <xf numFmtId="37" fontId="20" fillId="0" borderId="11" xfId="1" applyNumberFormat="1" applyFont="1" applyFill="1" applyBorder="1" applyAlignment="1" applyProtection="1">
      <alignment horizontal="center"/>
    </xf>
    <xf numFmtId="183" fontId="20" fillId="0" borderId="9" xfId="0" applyFont="1" applyFill="1" applyBorder="1" applyAlignment="1" applyProtection="1">
      <alignment horizontal="right"/>
    </xf>
    <xf numFmtId="181" fontId="20" fillId="0" borderId="9" xfId="1" applyNumberFormat="1" applyFont="1" applyFill="1" applyBorder="1" applyAlignment="1" applyProtection="1">
      <alignment horizontal="right"/>
    </xf>
    <xf numFmtId="37" fontId="20" fillId="0" borderId="4" xfId="1" applyNumberFormat="1" applyFont="1" applyFill="1" applyBorder="1" applyAlignment="1" applyProtection="1">
      <alignment horizontal="center"/>
    </xf>
    <xf numFmtId="168" fontId="20" fillId="0" borderId="7" xfId="1" applyNumberFormat="1" applyFont="1" applyFill="1" applyBorder="1" applyAlignment="1" applyProtection="1">
      <alignment horizontal="center"/>
    </xf>
    <xf numFmtId="183" fontId="29" fillId="0" borderId="0" xfId="0" applyFont="1" applyBorder="1" applyAlignment="1" applyProtection="1">
      <alignment horizontal="right"/>
    </xf>
    <xf numFmtId="166" fontId="20" fillId="0" borderId="0" xfId="1" applyNumberFormat="1" applyFont="1" applyFill="1" applyBorder="1" applyAlignment="1" applyProtection="1">
      <alignment horizontal="right"/>
    </xf>
    <xf numFmtId="166" fontId="20" fillId="0" borderId="11" xfId="1" applyNumberFormat="1" applyFont="1" applyFill="1" applyBorder="1" applyAlignment="1" applyProtection="1">
      <alignment horizontal="right"/>
    </xf>
    <xf numFmtId="168" fontId="20" fillId="0" borderId="9" xfId="1" applyNumberFormat="1" applyFont="1" applyFill="1" applyBorder="1" applyAlignment="1" applyProtection="1">
      <alignment horizontal="center"/>
    </xf>
    <xf numFmtId="37" fontId="20" fillId="0" borderId="6" xfId="1" applyNumberFormat="1" applyFont="1" applyFill="1" applyBorder="1" applyAlignment="1" applyProtection="1">
      <alignment horizontal="right"/>
    </xf>
    <xf numFmtId="37" fontId="20" fillId="0" borderId="1" xfId="1" applyNumberFormat="1" applyFont="1" applyFill="1" applyBorder="1" applyAlignment="1" applyProtection="1">
      <alignment horizontal="right"/>
    </xf>
    <xf numFmtId="181" fontId="20" fillId="0" borderId="4" xfId="1" applyNumberFormat="1" applyFont="1" applyFill="1" applyBorder="1" applyAlignment="1" applyProtection="1">
      <alignment horizontal="right"/>
    </xf>
    <xf numFmtId="37" fontId="20" fillId="0" borderId="3" xfId="1" applyNumberFormat="1" applyFont="1" applyFill="1" applyBorder="1" applyAlignment="1" applyProtection="1">
      <alignment horizontal="center"/>
    </xf>
    <xf numFmtId="37" fontId="20" fillId="0" borderId="7" xfId="1" applyNumberFormat="1" applyFont="1" applyFill="1" applyBorder="1" applyAlignment="1" applyProtection="1">
      <alignment horizontal="right"/>
    </xf>
    <xf numFmtId="181" fontId="20" fillId="0" borderId="5" xfId="1" applyNumberFormat="1" applyFont="1" applyFill="1" applyBorder="1" applyAlignment="1" applyProtection="1">
      <alignment horizontal="right"/>
    </xf>
    <xf numFmtId="181" fontId="20" fillId="0" borderId="1" xfId="1" applyNumberFormat="1" applyFont="1" applyFill="1" applyBorder="1" applyAlignment="1" applyProtection="1">
      <alignment horizontal="right"/>
    </xf>
    <xf numFmtId="168" fontId="20" fillId="0" borderId="6" xfId="1" applyNumberFormat="1" applyFont="1" applyFill="1" applyBorder="1" applyAlignment="1" applyProtection="1">
      <alignment horizontal="right"/>
    </xf>
    <xf numFmtId="37" fontId="20" fillId="0" borderId="9" xfId="1" applyNumberFormat="1" applyFont="1" applyFill="1" applyBorder="1" applyAlignment="1" applyProtection="1">
      <alignment horizontal="center"/>
    </xf>
    <xf numFmtId="183" fontId="20" fillId="0" borderId="9" xfId="0" applyFont="1" applyBorder="1" applyAlignment="1" applyProtection="1">
      <alignment horizontal="right"/>
    </xf>
    <xf numFmtId="181" fontId="20" fillId="0" borderId="19" xfId="1" applyNumberFormat="1" applyFont="1" applyFill="1" applyBorder="1" applyAlignment="1" applyProtection="1">
      <alignment horizontal="right"/>
    </xf>
    <xf numFmtId="181" fontId="20" fillId="0" borderId="16" xfId="1" applyNumberFormat="1" applyFont="1" applyFill="1" applyBorder="1" applyAlignment="1" applyProtection="1">
      <alignment horizontal="right"/>
    </xf>
    <xf numFmtId="37" fontId="20" fillId="0" borderId="19" xfId="1" applyNumberFormat="1" applyFont="1" applyFill="1" applyBorder="1" applyAlignment="1" applyProtection="1">
      <alignment horizontal="right"/>
    </xf>
    <xf numFmtId="37" fontId="20" fillId="0" borderId="17" xfId="1" applyNumberFormat="1" applyFont="1" applyFill="1" applyBorder="1" applyAlignment="1" applyProtection="1">
      <alignment horizontal="right"/>
    </xf>
    <xf numFmtId="181" fontId="20" fillId="0" borderId="17" xfId="1" applyNumberFormat="1" applyFont="1" applyFill="1" applyBorder="1" applyAlignment="1" applyProtection="1">
      <alignment horizontal="right"/>
    </xf>
    <xf numFmtId="37" fontId="20" fillId="0" borderId="19" xfId="1" applyNumberFormat="1" applyFont="1" applyFill="1" applyBorder="1" applyAlignment="1" applyProtection="1">
      <alignment horizontal="center"/>
    </xf>
    <xf numFmtId="37" fontId="20" fillId="0" borderId="17" xfId="1" applyNumberFormat="1" applyFont="1" applyFill="1" applyBorder="1" applyAlignment="1" applyProtection="1">
      <alignment horizontal="center"/>
    </xf>
    <xf numFmtId="183" fontId="20" fillId="0" borderId="0" xfId="0" applyFont="1" applyBorder="1" applyAlignment="1" applyProtection="1">
      <alignment horizontal="right"/>
    </xf>
    <xf numFmtId="181" fontId="20" fillId="0" borderId="18" xfId="1" applyNumberFormat="1" applyFont="1" applyFill="1" applyBorder="1" applyAlignment="1" applyProtection="1">
      <alignment horizontal="right"/>
    </xf>
    <xf numFmtId="37" fontId="20" fillId="0" borderId="18" xfId="1" applyNumberFormat="1" applyFont="1" applyFill="1" applyBorder="1" applyAlignment="1" applyProtection="1">
      <alignment horizontal="right"/>
    </xf>
    <xf numFmtId="168" fontId="20" fillId="0" borderId="18" xfId="1" applyNumberFormat="1" applyFont="1" applyFill="1" applyBorder="1" applyAlignment="1" applyProtection="1">
      <alignment horizontal="center"/>
    </xf>
    <xf numFmtId="183" fontId="20" fillId="0" borderId="10" xfId="0" applyFont="1" applyBorder="1" applyAlignment="1" applyProtection="1">
      <alignment horizontal="right"/>
    </xf>
    <xf numFmtId="167" fontId="20" fillId="0" borderId="0" xfId="0" applyNumberFormat="1" applyFont="1" applyBorder="1" applyAlignment="1" applyProtection="1">
      <alignment horizontal="right"/>
    </xf>
    <xf numFmtId="180" fontId="20" fillId="0" borderId="0" xfId="0" applyNumberFormat="1" applyFont="1" applyFill="1" applyProtection="1"/>
    <xf numFmtId="165" fontId="20" fillId="0" borderId="0" xfId="1" applyFont="1" applyProtection="1"/>
    <xf numFmtId="183" fontId="20" fillId="0" borderId="6" xfId="0" applyFont="1" applyBorder="1" applyProtection="1"/>
    <xf numFmtId="183" fontId="20" fillId="0" borderId="2" xfId="0" applyFont="1" applyBorder="1" applyProtection="1"/>
    <xf numFmtId="183" fontId="20" fillId="0" borderId="7" xfId="0" applyFont="1" applyBorder="1" applyProtection="1"/>
    <xf numFmtId="37" fontId="20" fillId="0" borderId="11" xfId="0" applyNumberFormat="1" applyFont="1" applyBorder="1" applyProtection="1"/>
    <xf numFmtId="181" fontId="20" fillId="0" borderId="3" xfId="1" applyNumberFormat="1" applyFont="1" applyFill="1" applyBorder="1" applyProtection="1"/>
    <xf numFmtId="37" fontId="20" fillId="0" borderId="7" xfId="1" applyNumberFormat="1" applyFont="1" applyFill="1" applyBorder="1" applyProtection="1"/>
    <xf numFmtId="37" fontId="20" fillId="0" borderId="1" xfId="0" applyNumberFormat="1" applyFont="1" applyBorder="1" applyProtection="1"/>
    <xf numFmtId="181" fontId="20" fillId="0" borderId="1" xfId="1" applyNumberFormat="1" applyFont="1" applyBorder="1" applyProtection="1"/>
    <xf numFmtId="37" fontId="20" fillId="0" borderId="6" xfId="1" applyNumberFormat="1" applyFont="1" applyFill="1" applyBorder="1" applyProtection="1"/>
    <xf numFmtId="37" fontId="20" fillId="0" borderId="5" xfId="1" applyNumberFormat="1" applyFont="1" applyFill="1" applyBorder="1" applyProtection="1"/>
    <xf numFmtId="37" fontId="20" fillId="0" borderId="8" xfId="0" applyNumberFormat="1" applyFont="1" applyBorder="1" applyProtection="1"/>
    <xf numFmtId="37" fontId="20" fillId="0" borderId="10" xfId="0" applyNumberFormat="1" applyFont="1" applyBorder="1" applyProtection="1"/>
    <xf numFmtId="181" fontId="20" fillId="0" borderId="3" xfId="1" applyNumberFormat="1" applyFont="1" applyBorder="1" applyProtection="1"/>
    <xf numFmtId="181" fontId="20" fillId="0" borderId="5" xfId="1" applyNumberFormat="1" applyFont="1" applyBorder="1" applyProtection="1"/>
    <xf numFmtId="37" fontId="20" fillId="0" borderId="13" xfId="0" applyNumberFormat="1" applyFont="1" applyBorder="1" applyProtection="1"/>
    <xf numFmtId="37" fontId="20" fillId="0" borderId="14" xfId="0" applyNumberFormat="1" applyFont="1" applyBorder="1" applyProtection="1"/>
    <xf numFmtId="37" fontId="20" fillId="0" borderId="12" xfId="0" applyNumberFormat="1" applyFont="1" applyBorder="1" applyProtection="1"/>
    <xf numFmtId="181" fontId="20" fillId="0" borderId="13" xfId="0" applyNumberFormat="1" applyFont="1" applyBorder="1" applyProtection="1"/>
    <xf numFmtId="181" fontId="20" fillId="0" borderId="15" xfId="1" applyNumberFormat="1" applyFont="1" applyBorder="1" applyProtection="1"/>
    <xf numFmtId="37" fontId="20" fillId="0" borderId="15" xfId="0" applyNumberFormat="1" applyFont="1" applyBorder="1" applyProtection="1"/>
    <xf numFmtId="37" fontId="20" fillId="0" borderId="3" xfId="0" applyNumberFormat="1" applyFont="1" applyBorder="1" applyProtection="1"/>
    <xf numFmtId="37" fontId="20" fillId="0" borderId="4" xfId="0" applyNumberFormat="1" applyFont="1" applyBorder="1" applyProtection="1"/>
    <xf numFmtId="37" fontId="20" fillId="0" borderId="2" xfId="0" applyNumberFormat="1" applyFont="1" applyBorder="1" applyProtection="1"/>
    <xf numFmtId="181" fontId="20" fillId="0" borderId="7" xfId="1" applyNumberFormat="1" applyFont="1" applyBorder="1" applyProtection="1"/>
    <xf numFmtId="37" fontId="20" fillId="0" borderId="7" xfId="0" applyNumberFormat="1" applyFont="1" applyBorder="1" applyProtection="1"/>
    <xf numFmtId="181" fontId="20" fillId="0" borderId="10" xfId="1" applyNumberFormat="1" applyFont="1" applyBorder="1" applyProtection="1"/>
    <xf numFmtId="181" fontId="20" fillId="0" borderId="8" xfId="1" applyNumberFormat="1" applyFont="1" applyFill="1" applyBorder="1" applyAlignment="1" applyProtection="1">
      <alignment horizontal="right"/>
    </xf>
    <xf numFmtId="181" fontId="20" fillId="0" borderId="8" xfId="1" applyNumberFormat="1" applyFont="1" applyBorder="1" applyProtection="1"/>
    <xf numFmtId="37" fontId="20" fillId="0" borderId="8" xfId="0" applyNumberFormat="1" applyFont="1" applyBorder="1" applyAlignment="1" applyProtection="1">
      <alignment horizontal="right"/>
    </xf>
    <xf numFmtId="37" fontId="20" fillId="0" borderId="5" xfId="1" applyNumberFormat="1" applyFont="1" applyFill="1" applyBorder="1" applyAlignment="1" applyProtection="1">
      <alignment horizontal="right"/>
    </xf>
    <xf numFmtId="181" fontId="20" fillId="0" borderId="0" xfId="0" applyNumberFormat="1" applyFont="1" applyBorder="1" applyProtection="1"/>
    <xf numFmtId="165" fontId="0" fillId="0" borderId="0" xfId="1" applyFont="1" applyFill="1" applyBorder="1" applyAlignment="1" applyProtection="1"/>
    <xf numFmtId="181" fontId="0" fillId="0" borderId="0" xfId="1" applyNumberFormat="1" applyFont="1" applyFill="1" applyBorder="1" applyAlignment="1" applyProtection="1"/>
    <xf numFmtId="37" fontId="0" fillId="0" borderId="0" xfId="0" applyNumberFormat="1" applyProtection="1"/>
    <xf numFmtId="0" fontId="15" fillId="0" borderId="0" xfId="75" applyProtection="1">
      <protection locked="0"/>
    </xf>
    <xf numFmtId="0" fontId="15" fillId="0" borderId="0" xfId="75" applyBorder="1" applyProtection="1">
      <protection locked="0"/>
    </xf>
    <xf numFmtId="0" fontId="15" fillId="0" borderId="0" xfId="75" applyAlignment="1" applyProtection="1">
      <protection locked="0"/>
    </xf>
    <xf numFmtId="0" fontId="18" fillId="0" borderId="0" xfId="75" applyFont="1" applyFill="1" applyBorder="1" applyAlignment="1" applyProtection="1">
      <alignment horizontal="left"/>
      <protection locked="0"/>
    </xf>
    <xf numFmtId="0" fontId="15" fillId="0" borderId="0" xfId="75" applyFill="1" applyBorder="1" applyProtection="1">
      <protection locked="0"/>
    </xf>
    <xf numFmtId="0" fontId="20" fillId="0" borderId="0" xfId="75" applyFont="1" applyFill="1" applyBorder="1" applyProtection="1">
      <protection locked="0"/>
    </xf>
    <xf numFmtId="0" fontId="26" fillId="0" borderId="9" xfId="75" applyFont="1" applyFill="1" applyBorder="1" applyAlignment="1" applyProtection="1">
      <alignment horizontal="center"/>
      <protection locked="0"/>
    </xf>
    <xf numFmtId="0" fontId="15" fillId="0" borderId="3" xfId="75" applyBorder="1" applyProtection="1">
      <protection locked="0"/>
    </xf>
    <xf numFmtId="0" fontId="15" fillId="0" borderId="2" xfId="75" applyBorder="1" applyProtection="1">
      <protection locked="0"/>
    </xf>
    <xf numFmtId="0" fontId="16" fillId="0" borderId="9" xfId="75" applyFont="1" applyFill="1" applyBorder="1" applyAlignment="1" applyProtection="1">
      <alignment horizontal="center"/>
      <protection locked="0"/>
    </xf>
    <xf numFmtId="0" fontId="80" fillId="0" borderId="9" xfId="75" applyFont="1" applyFill="1" applyBorder="1" applyAlignment="1" applyProtection="1">
      <alignment horizontal="center"/>
      <protection locked="0"/>
    </xf>
    <xf numFmtId="0" fontId="45" fillId="0" borderId="0" xfId="75" applyFont="1" applyBorder="1" applyProtection="1">
      <protection locked="0"/>
    </xf>
    <xf numFmtId="0" fontId="45" fillId="0" borderId="0" xfId="75" applyFont="1" applyProtection="1">
      <protection locked="0"/>
    </xf>
    <xf numFmtId="0" fontId="20" fillId="0" borderId="9" xfId="75" applyFont="1" applyBorder="1" applyProtection="1">
      <protection locked="0"/>
    </xf>
    <xf numFmtId="0" fontId="20" fillId="0" borderId="0" xfId="75" applyFont="1" applyBorder="1" applyProtection="1">
      <protection locked="0"/>
    </xf>
    <xf numFmtId="167" fontId="20" fillId="0" borderId="9" xfId="16" applyNumberFormat="1" applyFont="1" applyFill="1" applyBorder="1" applyAlignment="1" applyProtection="1">
      <alignment horizontal="right"/>
      <protection locked="0"/>
    </xf>
    <xf numFmtId="37" fontId="20" fillId="0" borderId="6" xfId="13" applyNumberFormat="1" applyFont="1" applyFill="1" applyBorder="1" applyProtection="1">
      <protection locked="0"/>
    </xf>
    <xf numFmtId="166" fontId="20" fillId="0" borderId="6" xfId="13" applyNumberFormat="1" applyFont="1" applyFill="1" applyBorder="1" applyProtection="1">
      <protection locked="0"/>
    </xf>
    <xf numFmtId="166" fontId="20" fillId="0" borderId="0" xfId="16" applyNumberFormat="1" applyFont="1" applyFill="1" applyBorder="1" applyAlignment="1" applyProtection="1">
      <alignment horizontal="right"/>
      <protection locked="0"/>
    </xf>
    <xf numFmtId="166" fontId="20" fillId="0" borderId="13" xfId="13" applyNumberFormat="1" applyFont="1" applyFill="1" applyBorder="1" applyProtection="1">
      <protection locked="0"/>
    </xf>
    <xf numFmtId="37" fontId="20" fillId="0" borderId="0" xfId="16" applyNumberFormat="1" applyFont="1" applyFill="1" applyBorder="1" applyAlignment="1" applyProtection="1">
      <alignment horizontal="right"/>
      <protection locked="0"/>
    </xf>
    <xf numFmtId="37" fontId="20" fillId="0" borderId="6" xfId="16" applyNumberFormat="1" applyFont="1" applyFill="1" applyBorder="1" applyAlignment="1" applyProtection="1">
      <alignment horizontal="right"/>
      <protection locked="0"/>
    </xf>
    <xf numFmtId="166" fontId="20" fillId="0" borderId="9" xfId="13" applyNumberFormat="1" applyFont="1" applyFill="1" applyBorder="1" applyAlignment="1" applyProtection="1">
      <alignment horizontal="right"/>
      <protection locked="0"/>
    </xf>
    <xf numFmtId="167" fontId="20" fillId="0" borderId="9" xfId="16" applyNumberFormat="1" applyFont="1" applyFill="1" applyBorder="1" applyAlignment="1" applyProtection="1">
      <alignment horizontal="left"/>
      <protection locked="0"/>
    </xf>
    <xf numFmtId="168" fontId="20" fillId="0" borderId="0" xfId="75" applyNumberFormat="1" applyFont="1" applyBorder="1" applyAlignment="1" applyProtection="1">
      <alignment horizontal="right"/>
      <protection locked="0"/>
    </xf>
    <xf numFmtId="168" fontId="20" fillId="0" borderId="0" xfId="75" applyNumberFormat="1" applyFont="1" applyFill="1" applyBorder="1" applyAlignment="1" applyProtection="1">
      <alignment horizontal="right"/>
      <protection locked="0"/>
    </xf>
    <xf numFmtId="168" fontId="20" fillId="0" borderId="0" xfId="13" applyNumberFormat="1" applyFont="1" applyFill="1" applyBorder="1" applyAlignment="1" applyProtection="1">
      <alignment horizontal="right"/>
      <protection locked="0"/>
    </xf>
    <xf numFmtId="166" fontId="20" fillId="0" borderId="13" xfId="13" applyNumberFormat="1" applyFont="1" applyFill="1" applyBorder="1" applyAlignment="1" applyProtection="1">
      <alignment horizontal="right"/>
      <protection locked="0"/>
    </xf>
    <xf numFmtId="0" fontId="29" fillId="0" borderId="0" xfId="75" applyFont="1" applyBorder="1" applyProtection="1">
      <protection locked="0"/>
    </xf>
    <xf numFmtId="0" fontId="29" fillId="0" borderId="0" xfId="75" applyFont="1" applyProtection="1">
      <protection locked="0"/>
    </xf>
    <xf numFmtId="0" fontId="20" fillId="0" borderId="9" xfId="75" applyFont="1" applyFill="1" applyBorder="1" applyAlignment="1" applyProtection="1">
      <alignment horizontal="center"/>
      <protection locked="0"/>
    </xf>
    <xf numFmtId="166" fontId="20" fillId="0" borderId="19" xfId="13" applyNumberFormat="1" applyFont="1" applyFill="1" applyBorder="1" applyAlignment="1" applyProtection="1">
      <alignment horizontal="right"/>
      <protection locked="0"/>
    </xf>
    <xf numFmtId="167" fontId="20" fillId="0" borderId="0" xfId="16" applyNumberFormat="1" applyFont="1" applyFill="1" applyBorder="1" applyAlignment="1" applyProtection="1">
      <alignment horizontal="right"/>
      <protection locked="0"/>
    </xf>
    <xf numFmtId="167" fontId="20" fillId="0" borderId="0" xfId="75" applyNumberFormat="1" applyFont="1" applyFill="1" applyBorder="1" applyProtection="1">
      <protection locked="0"/>
    </xf>
    <xf numFmtId="37" fontId="20" fillId="0" borderId="0" xfId="75" applyNumberFormat="1" applyFont="1" applyFill="1" applyBorder="1" applyProtection="1">
      <protection locked="0"/>
    </xf>
    <xf numFmtId="37" fontId="20" fillId="0" borderId="0" xfId="13" applyNumberFormat="1" applyFont="1" applyFill="1" applyBorder="1" applyProtection="1">
      <protection locked="0"/>
    </xf>
    <xf numFmtId="167" fontId="20" fillId="0" borderId="9" xfId="75" applyNumberFormat="1" applyFont="1" applyFill="1" applyBorder="1" applyProtection="1">
      <protection locked="0"/>
    </xf>
    <xf numFmtId="0" fontId="20" fillId="0" borderId="9" xfId="75" applyFont="1" applyFill="1" applyBorder="1" applyAlignment="1" applyProtection="1">
      <protection locked="0"/>
    </xf>
    <xf numFmtId="0" fontId="15" fillId="0" borderId="9" xfId="75" applyBorder="1" applyProtection="1">
      <protection locked="0"/>
    </xf>
    <xf numFmtId="37" fontId="20" fillId="0" borderId="13" xfId="75" applyNumberFormat="1" applyFont="1" applyBorder="1" applyProtection="1">
      <protection locked="0"/>
    </xf>
    <xf numFmtId="37" fontId="20" fillId="0" borderId="0" xfId="75" applyNumberFormat="1" applyFont="1" applyBorder="1" applyProtection="1">
      <protection locked="0"/>
    </xf>
    <xf numFmtId="183" fontId="79" fillId="0" borderId="9" xfId="76" applyNumberFormat="1" applyBorder="1" applyProtection="1">
      <protection locked="0"/>
    </xf>
    <xf numFmtId="168" fontId="20" fillId="0" borderId="13" xfId="76" applyNumberFormat="1" applyFont="1" applyBorder="1" applyProtection="1">
      <protection locked="0"/>
    </xf>
    <xf numFmtId="0" fontId="15" fillId="0" borderId="0" xfId="75" applyProtection="1"/>
    <xf numFmtId="0" fontId="15" fillId="0" borderId="0" xfId="75" applyBorder="1" applyProtection="1"/>
    <xf numFmtId="0" fontId="17" fillId="0" borderId="0" xfId="75" applyFont="1" applyProtection="1"/>
    <xf numFmtId="0" fontId="18" fillId="0" borderId="0" xfId="75" applyFont="1" applyFill="1" applyBorder="1" applyAlignment="1" applyProtection="1">
      <alignment horizontal="left"/>
    </xf>
    <xf numFmtId="0" fontId="15" fillId="0" borderId="0" xfId="75" applyFill="1" applyBorder="1" applyProtection="1"/>
    <xf numFmtId="0" fontId="19" fillId="0" borderId="0" xfId="75" applyFont="1" applyFill="1" applyBorder="1" applyProtection="1"/>
    <xf numFmtId="0" fontId="20" fillId="0" borderId="0" xfId="75" applyFont="1" applyFill="1" applyBorder="1" applyProtection="1"/>
    <xf numFmtId="0" fontId="80" fillId="0" borderId="10" xfId="75" applyFont="1" applyFill="1" applyBorder="1" applyAlignment="1" applyProtection="1">
      <alignment horizontal="center"/>
    </xf>
    <xf numFmtId="0" fontId="80" fillId="0" borderId="4" xfId="75" applyFont="1" applyFill="1" applyBorder="1" applyAlignment="1" applyProtection="1">
      <alignment horizontal="center"/>
    </xf>
    <xf numFmtId="0" fontId="26" fillId="0" borderId="0" xfId="75" applyFont="1" applyFill="1" applyBorder="1" applyProtection="1"/>
    <xf numFmtId="0" fontId="22" fillId="0" borderId="0" xfId="75" applyFont="1" applyFill="1" applyBorder="1" applyProtection="1"/>
    <xf numFmtId="0" fontId="20" fillId="0" borderId="10" xfId="75" applyFont="1" applyBorder="1" applyProtection="1"/>
    <xf numFmtId="0" fontId="20" fillId="0" borderId="11" xfId="75" applyFont="1" applyBorder="1" applyProtection="1"/>
    <xf numFmtId="168" fontId="20" fillId="0" borderId="10" xfId="13" applyNumberFormat="1" applyFont="1" applyFill="1" applyBorder="1" applyProtection="1"/>
    <xf numFmtId="168" fontId="20" fillId="0" borderId="12" xfId="13" applyNumberFormat="1" applyFont="1" applyFill="1" applyBorder="1" applyProtection="1"/>
    <xf numFmtId="167" fontId="20" fillId="0" borderId="14" xfId="16" applyNumberFormat="1" applyFont="1" applyFill="1" applyBorder="1" applyAlignment="1" applyProtection="1">
      <alignment horizontal="right"/>
    </xf>
    <xf numFmtId="167" fontId="20" fillId="0" borderId="11" xfId="16" applyNumberFormat="1" applyFont="1" applyFill="1" applyBorder="1" applyAlignment="1" applyProtection="1">
      <alignment horizontal="right"/>
    </xf>
    <xf numFmtId="168" fontId="20" fillId="0" borderId="5" xfId="13" applyNumberFormat="1" applyFont="1" applyFill="1" applyBorder="1" applyProtection="1"/>
    <xf numFmtId="167" fontId="20" fillId="0" borderId="1" xfId="16" applyNumberFormat="1" applyFont="1" applyFill="1" applyBorder="1" applyAlignment="1" applyProtection="1">
      <alignment horizontal="right"/>
    </xf>
    <xf numFmtId="167" fontId="20" fillId="0" borderId="11" xfId="16" applyNumberFormat="1" applyFont="1" applyFill="1" applyBorder="1" applyAlignment="1" applyProtection="1"/>
    <xf numFmtId="0" fontId="20" fillId="0" borderId="0" xfId="75" applyFont="1" applyFill="1" applyProtection="1"/>
    <xf numFmtId="167" fontId="20" fillId="0" borderId="4" xfId="16" applyNumberFormat="1" applyFont="1" applyFill="1" applyBorder="1" applyAlignment="1" applyProtection="1"/>
    <xf numFmtId="0" fontId="20" fillId="0" borderId="0" xfId="75" applyFont="1" applyBorder="1" applyAlignment="1" applyProtection="1">
      <alignment wrapText="1"/>
    </xf>
    <xf numFmtId="168" fontId="20" fillId="0" borderId="16" xfId="13" applyNumberFormat="1" applyFont="1" applyFill="1" applyBorder="1" applyProtection="1"/>
    <xf numFmtId="167" fontId="20" fillId="0" borderId="17" xfId="16" applyNumberFormat="1" applyFont="1" applyFill="1" applyBorder="1" applyAlignment="1" applyProtection="1">
      <alignment horizontal="right"/>
    </xf>
    <xf numFmtId="168" fontId="20" fillId="0" borderId="0" xfId="13" applyNumberFormat="1" applyFont="1" applyFill="1" applyBorder="1" applyProtection="1"/>
    <xf numFmtId="167" fontId="20" fillId="0" borderId="0" xfId="16" applyNumberFormat="1" applyFont="1" applyFill="1" applyBorder="1" applyAlignment="1" applyProtection="1">
      <alignment horizontal="right"/>
    </xf>
    <xf numFmtId="176" fontId="20" fillId="0" borderId="0" xfId="75" applyNumberFormat="1" applyFont="1" applyFill="1" applyBorder="1" applyAlignment="1" applyProtection="1">
      <alignment horizontal="right"/>
    </xf>
    <xf numFmtId="167" fontId="20" fillId="0" borderId="0" xfId="75" applyNumberFormat="1" applyFont="1" applyProtection="1"/>
    <xf numFmtId="167" fontId="20" fillId="0" borderId="0" xfId="75" applyNumberFormat="1" applyFont="1" applyFill="1" applyProtection="1"/>
    <xf numFmtId="168" fontId="20" fillId="0" borderId="0" xfId="75" applyNumberFormat="1" applyFont="1" applyFill="1" applyBorder="1" applyAlignment="1" applyProtection="1">
      <alignment horizontal="right"/>
    </xf>
    <xf numFmtId="0" fontId="20" fillId="0" borderId="0" xfId="75" applyFont="1" applyBorder="1" applyProtection="1"/>
    <xf numFmtId="167" fontId="17" fillId="0" borderId="0" xfId="77" applyNumberFormat="1" applyFont="1" applyBorder="1" applyProtection="1"/>
    <xf numFmtId="0" fontId="20" fillId="0" borderId="0" xfId="75" applyFont="1" applyProtection="1"/>
    <xf numFmtId="167" fontId="22" fillId="0" borderId="0" xfId="75" applyNumberFormat="1" applyFont="1" applyBorder="1" applyProtection="1"/>
    <xf numFmtId="0" fontId="19" fillId="0" borderId="0" xfId="75" applyFont="1" applyProtection="1"/>
    <xf numFmtId="168" fontId="20" fillId="0" borderId="10" xfId="75" applyNumberFormat="1" applyFont="1" applyFill="1" applyBorder="1" applyProtection="1"/>
    <xf numFmtId="167" fontId="20" fillId="0" borderId="11" xfId="75" applyNumberFormat="1" applyFont="1" applyFill="1" applyBorder="1" applyProtection="1"/>
    <xf numFmtId="167" fontId="20" fillId="0" borderId="11" xfId="75" applyNumberFormat="1" applyFont="1" applyFill="1" applyBorder="1" applyAlignment="1" applyProtection="1">
      <alignment horizontal="right"/>
    </xf>
    <xf numFmtId="168" fontId="20" fillId="0" borderId="5" xfId="75" applyNumberFormat="1" applyFont="1" applyFill="1" applyBorder="1" applyProtection="1"/>
    <xf numFmtId="167" fontId="20" fillId="0" borderId="1" xfId="75" applyNumberFormat="1" applyFont="1" applyFill="1" applyBorder="1" applyAlignment="1" applyProtection="1">
      <alignment horizontal="right"/>
    </xf>
    <xf numFmtId="168" fontId="20" fillId="0" borderId="0" xfId="75" applyNumberFormat="1" applyFont="1" applyFill="1" applyBorder="1" applyProtection="1"/>
    <xf numFmtId="167" fontId="20" fillId="0" borderId="0" xfId="75" applyNumberFormat="1" applyFont="1" applyFill="1" applyBorder="1" applyProtection="1"/>
    <xf numFmtId="176" fontId="20" fillId="0" borderId="0" xfId="75" applyNumberFormat="1" applyFont="1" applyProtection="1"/>
    <xf numFmtId="167" fontId="17" fillId="0" borderId="0" xfId="75" applyNumberFormat="1" applyFont="1" applyBorder="1" applyProtection="1"/>
    <xf numFmtId="168" fontId="20" fillId="0" borderId="12" xfId="75" applyNumberFormat="1" applyFont="1" applyFill="1" applyBorder="1" applyProtection="1"/>
    <xf numFmtId="167" fontId="20" fillId="0" borderId="14" xfId="75" applyNumberFormat="1" applyFont="1" applyFill="1" applyBorder="1" applyProtection="1"/>
    <xf numFmtId="167" fontId="20" fillId="0" borderId="1" xfId="75" applyNumberFormat="1" applyFont="1" applyFill="1" applyBorder="1" applyProtection="1"/>
    <xf numFmtId="168" fontId="20" fillId="0" borderId="5" xfId="76" applyNumberFormat="1" applyFont="1" applyFill="1" applyBorder="1" applyProtection="1"/>
    <xf numFmtId="167" fontId="20" fillId="0" borderId="1" xfId="76" applyNumberFormat="1" applyFont="1" applyFill="1" applyBorder="1" applyProtection="1"/>
    <xf numFmtId="37" fontId="15" fillId="0" borderId="0" xfId="75" applyNumberFormat="1" applyBorder="1" applyProtection="1"/>
    <xf numFmtId="0" fontId="15" fillId="0" borderId="0" xfId="75" applyAlignment="1" applyProtection="1"/>
    <xf numFmtId="166" fontId="15" fillId="0" borderId="0" xfId="75" applyNumberFormat="1" applyBorder="1" applyProtection="1"/>
    <xf numFmtId="170" fontId="15" fillId="0" borderId="0" xfId="7" applyNumberFormat="1" applyBorder="1" applyProtection="1"/>
    <xf numFmtId="0" fontId="15" fillId="0" borderId="6" xfId="75" applyFill="1" applyBorder="1" applyProtection="1"/>
    <xf numFmtId="0" fontId="15" fillId="0" borderId="0" xfId="75" applyBorder="1" applyAlignment="1" applyProtection="1"/>
    <xf numFmtId="0" fontId="15" fillId="0" borderId="4" xfId="75" applyBorder="1" applyProtection="1"/>
    <xf numFmtId="0" fontId="15" fillId="0" borderId="3" xfId="75" applyBorder="1" applyProtection="1"/>
    <xf numFmtId="0" fontId="15" fillId="0" borderId="2" xfId="75" applyBorder="1" applyProtection="1"/>
    <xf numFmtId="0" fontId="26" fillId="0" borderId="9" xfId="75" applyFont="1" applyFill="1" applyBorder="1" applyAlignment="1" applyProtection="1">
      <alignment horizontal="center"/>
    </xf>
    <xf numFmtId="0" fontId="26" fillId="0" borderId="0" xfId="75" applyFont="1" applyFill="1" applyBorder="1" applyAlignment="1" applyProtection="1">
      <alignment horizontal="center"/>
    </xf>
    <xf numFmtId="0" fontId="26" fillId="0" borderId="7" xfId="75" applyFont="1" applyFill="1" applyBorder="1" applyAlignment="1" applyProtection="1">
      <alignment horizontal="center"/>
    </xf>
    <xf numFmtId="0" fontId="15" fillId="0" borderId="7" xfId="75" applyBorder="1" applyProtection="1"/>
    <xf numFmtId="0" fontId="26" fillId="0" borderId="7" xfId="75" applyFont="1" applyBorder="1" applyAlignment="1" applyProtection="1">
      <alignment horizontal="center"/>
    </xf>
    <xf numFmtId="0" fontId="15" fillId="0" borderId="10" xfId="75" applyBorder="1" applyProtection="1"/>
    <xf numFmtId="0" fontId="26" fillId="0" borderId="6" xfId="75" applyFont="1" applyFill="1" applyBorder="1" applyAlignment="1" applyProtection="1">
      <alignment horizontal="center"/>
    </xf>
    <xf numFmtId="0" fontId="26" fillId="0" borderId="1" xfId="75" applyFont="1" applyFill="1" applyBorder="1" applyAlignment="1" applyProtection="1">
      <alignment horizontal="center"/>
    </xf>
    <xf numFmtId="0" fontId="26" fillId="0" borderId="5" xfId="75" applyFont="1" applyFill="1" applyBorder="1" applyAlignment="1" applyProtection="1">
      <alignment horizontal="center"/>
    </xf>
    <xf numFmtId="0" fontId="16" fillId="0" borderId="9" xfId="75" applyFont="1" applyFill="1" applyBorder="1" applyAlignment="1" applyProtection="1">
      <alignment horizontal="center"/>
    </xf>
    <xf numFmtId="0" fontId="16" fillId="0" borderId="0" xfId="75" applyFont="1" applyFill="1" applyBorder="1" applyAlignment="1" applyProtection="1">
      <alignment horizontal="center"/>
    </xf>
    <xf numFmtId="0" fontId="26" fillId="0" borderId="8" xfId="75" applyFont="1" applyFill="1" applyBorder="1" applyAlignment="1" applyProtection="1">
      <alignment horizontal="center"/>
    </xf>
    <xf numFmtId="0" fontId="19" fillId="0" borderId="3" xfId="75" applyFont="1" applyFill="1" applyBorder="1" applyAlignment="1" applyProtection="1">
      <alignment horizontal="center"/>
    </xf>
    <xf numFmtId="0" fontId="19" fillId="0" borderId="4" xfId="75" applyFont="1" applyFill="1" applyBorder="1" applyAlignment="1" applyProtection="1">
      <alignment horizontal="center"/>
    </xf>
    <xf numFmtId="0" fontId="19" fillId="0" borderId="0" xfId="75" applyFont="1" applyFill="1" applyBorder="1" applyAlignment="1" applyProtection="1">
      <alignment horizontal="center"/>
    </xf>
    <xf numFmtId="0" fontId="19" fillId="0" borderId="11" xfId="75" applyFont="1" applyFill="1" applyBorder="1" applyAlignment="1" applyProtection="1">
      <alignment horizontal="center"/>
    </xf>
    <xf numFmtId="0" fontId="19" fillId="0" borderId="10" xfId="75" applyFont="1" applyFill="1" applyBorder="1" applyAlignment="1" applyProtection="1">
      <alignment horizontal="center"/>
    </xf>
    <xf numFmtId="0" fontId="80" fillId="0" borderId="9" xfId="75" applyFont="1" applyFill="1" applyBorder="1" applyAlignment="1" applyProtection="1">
      <alignment horizontal="center"/>
    </xf>
    <xf numFmtId="183" fontId="19" fillId="0" borderId="3" xfId="29" applyFont="1" applyFill="1" applyBorder="1" applyAlignment="1" applyProtection="1">
      <alignment horizontal="center"/>
    </xf>
    <xf numFmtId="183" fontId="15" fillId="0" borderId="3" xfId="29" applyBorder="1" applyProtection="1"/>
    <xf numFmtId="183" fontId="15" fillId="0" borderId="4" xfId="29" applyBorder="1" applyProtection="1"/>
    <xf numFmtId="0" fontId="80" fillId="0" borderId="0" xfId="75" applyFont="1" applyFill="1" applyBorder="1" applyAlignment="1" applyProtection="1">
      <alignment horizontal="center"/>
    </xf>
    <xf numFmtId="0" fontId="19" fillId="0" borderId="7" xfId="75" applyFont="1" applyFill="1" applyBorder="1" applyAlignment="1" applyProtection="1">
      <alignment horizontal="center"/>
    </xf>
    <xf numFmtId="0" fontId="19" fillId="0" borderId="15" xfId="75" applyFont="1" applyFill="1" applyBorder="1" applyAlignment="1" applyProtection="1">
      <alignment horizontal="center"/>
    </xf>
    <xf numFmtId="0" fontId="19" fillId="0" borderId="9" xfId="75" applyFont="1" applyFill="1" applyBorder="1" applyAlignment="1" applyProtection="1">
      <alignment horizontal="center"/>
    </xf>
    <xf numFmtId="0" fontId="45" fillId="0" borderId="10" xfId="75" applyFont="1" applyBorder="1" applyProtection="1"/>
    <xf numFmtId="0" fontId="20" fillId="0" borderId="9" xfId="75" applyFont="1" applyBorder="1" applyProtection="1"/>
    <xf numFmtId="0" fontId="20" fillId="0" borderId="0" xfId="75" applyFont="1" applyBorder="1" applyAlignment="1" applyProtection="1"/>
    <xf numFmtId="0" fontId="20" fillId="0" borderId="11" xfId="75" applyFont="1" applyBorder="1" applyAlignment="1" applyProtection="1"/>
    <xf numFmtId="175" fontId="20" fillId="0" borderId="9" xfId="13" applyNumberFormat="1" applyFont="1" applyFill="1" applyBorder="1" applyProtection="1"/>
    <xf numFmtId="175" fontId="20" fillId="0" borderId="7" xfId="13" applyNumberFormat="1" applyFont="1" applyFill="1" applyBorder="1" applyProtection="1"/>
    <xf numFmtId="166" fontId="20" fillId="0" borderId="6" xfId="13" applyNumberFormat="1" applyFont="1" applyFill="1" applyBorder="1" applyProtection="1"/>
    <xf numFmtId="166" fontId="20" fillId="0" borderId="11" xfId="13" applyNumberFormat="1" applyFont="1" applyFill="1" applyBorder="1" applyProtection="1"/>
    <xf numFmtId="37" fontId="20" fillId="0" borderId="6" xfId="13" applyNumberFormat="1" applyFont="1" applyFill="1" applyBorder="1" applyProtection="1"/>
    <xf numFmtId="166" fontId="20" fillId="0" borderId="6" xfId="75" applyNumberFormat="1" applyFont="1" applyFill="1" applyBorder="1" applyProtection="1"/>
    <xf numFmtId="166" fontId="20" fillId="0" borderId="0" xfId="16" applyNumberFormat="1" applyFont="1" applyFill="1" applyBorder="1" applyAlignment="1" applyProtection="1">
      <alignment horizontal="right"/>
    </xf>
    <xf numFmtId="166" fontId="20" fillId="0" borderId="0" xfId="75" applyNumberFormat="1" applyFont="1" applyBorder="1" applyProtection="1"/>
    <xf numFmtId="166" fontId="20" fillId="0" borderId="0" xfId="75" applyNumberFormat="1" applyFont="1" applyProtection="1"/>
    <xf numFmtId="166" fontId="20" fillId="0" borderId="11" xfId="75" applyNumberFormat="1" applyFont="1" applyBorder="1" applyProtection="1"/>
    <xf numFmtId="166" fontId="20" fillId="0" borderId="10" xfId="75" applyNumberFormat="1" applyFont="1" applyBorder="1" applyProtection="1"/>
    <xf numFmtId="168" fontId="20" fillId="0" borderId="0" xfId="13" applyNumberFormat="1" applyFont="1" applyFill="1" applyBorder="1" applyAlignment="1" applyProtection="1"/>
    <xf numFmtId="37" fontId="20" fillId="0" borderId="9" xfId="13" applyNumberFormat="1" applyFont="1" applyFill="1" applyBorder="1" applyAlignment="1" applyProtection="1">
      <alignment horizontal="right"/>
    </xf>
    <xf numFmtId="166" fontId="20" fillId="0" borderId="14" xfId="13" applyNumberFormat="1" applyFont="1" applyFill="1" applyBorder="1" applyProtection="1"/>
    <xf numFmtId="166" fontId="20" fillId="0" borderId="13" xfId="13" applyNumberFormat="1" applyFont="1" applyFill="1" applyBorder="1" applyProtection="1"/>
    <xf numFmtId="166" fontId="20" fillId="0" borderId="12" xfId="13" applyNumberFormat="1" applyFont="1" applyFill="1" applyBorder="1" applyProtection="1"/>
    <xf numFmtId="168" fontId="20" fillId="0" borderId="13" xfId="13" applyNumberFormat="1" applyFont="1" applyFill="1" applyBorder="1" applyAlignment="1" applyProtection="1"/>
    <xf numFmtId="37" fontId="20" fillId="0" borderId="15" xfId="13" applyNumberFormat="1" applyFont="1" applyFill="1" applyBorder="1" applyAlignment="1" applyProtection="1">
      <alignment horizontal="right"/>
    </xf>
    <xf numFmtId="168" fontId="20" fillId="0" borderId="15" xfId="13" applyNumberFormat="1" applyFont="1" applyFill="1" applyBorder="1" applyProtection="1"/>
    <xf numFmtId="37" fontId="20" fillId="0" borderId="0" xfId="16" applyNumberFormat="1" applyFont="1" applyFill="1" applyBorder="1" applyAlignment="1" applyProtection="1">
      <alignment horizontal="right"/>
    </xf>
    <xf numFmtId="166" fontId="20" fillId="0" borderId="3" xfId="16" applyNumberFormat="1" applyFont="1" applyFill="1" applyBorder="1" applyAlignment="1" applyProtection="1">
      <alignment horizontal="right"/>
    </xf>
    <xf numFmtId="166" fontId="20" fillId="0" borderId="4" xfId="13" applyNumberFormat="1" applyFont="1" applyFill="1" applyBorder="1" applyProtection="1"/>
    <xf numFmtId="166" fontId="20" fillId="0" borderId="0" xfId="13" applyNumberFormat="1" applyFont="1" applyFill="1" applyBorder="1" applyProtection="1"/>
    <xf numFmtId="166" fontId="20" fillId="0" borderId="10" xfId="13" applyNumberFormat="1" applyFont="1" applyFill="1" applyBorder="1" applyProtection="1"/>
    <xf numFmtId="0" fontId="20" fillId="0" borderId="9" xfId="75" applyFont="1" applyBorder="1" applyAlignment="1" applyProtection="1">
      <alignment horizontal="right"/>
    </xf>
    <xf numFmtId="168" fontId="20" fillId="0" borderId="9" xfId="13" applyNumberFormat="1" applyFont="1" applyFill="1" applyBorder="1" applyProtection="1"/>
    <xf numFmtId="37" fontId="20" fillId="0" borderId="9" xfId="75" applyNumberFormat="1" applyFont="1" applyBorder="1" applyAlignment="1" applyProtection="1">
      <alignment horizontal="right"/>
    </xf>
    <xf numFmtId="168" fontId="20" fillId="0" borderId="9" xfId="13" applyNumberFormat="1" applyFont="1" applyFill="1" applyBorder="1" applyAlignment="1" applyProtection="1"/>
    <xf numFmtId="37" fontId="20" fillId="0" borderId="11" xfId="13" applyNumberFormat="1" applyFont="1" applyFill="1" applyBorder="1" applyAlignment="1" applyProtection="1">
      <alignment horizontal="right"/>
    </xf>
    <xf numFmtId="166" fontId="20" fillId="0" borderId="6" xfId="16" applyNumberFormat="1" applyFont="1" applyFill="1" applyBorder="1" applyAlignment="1" applyProtection="1">
      <alignment horizontal="right"/>
    </xf>
    <xf numFmtId="166" fontId="20" fillId="0" borderId="1" xfId="13" applyNumberFormat="1" applyFont="1" applyFill="1" applyBorder="1" applyProtection="1"/>
    <xf numFmtId="37" fontId="20" fillId="0" borderId="6" xfId="16" applyNumberFormat="1" applyFont="1" applyFill="1" applyBorder="1" applyAlignment="1" applyProtection="1">
      <alignment horizontal="right"/>
    </xf>
    <xf numFmtId="168" fontId="20" fillId="0" borderId="6" xfId="13" applyNumberFormat="1" applyFont="1" applyFill="1" applyBorder="1" applyAlignment="1" applyProtection="1"/>
    <xf numFmtId="37" fontId="20" fillId="0" borderId="8" xfId="75" applyNumberFormat="1" applyFont="1" applyBorder="1" applyAlignment="1" applyProtection="1">
      <alignment horizontal="right"/>
    </xf>
    <xf numFmtId="168" fontId="20" fillId="0" borderId="8" xfId="13" applyNumberFormat="1" applyFont="1" applyFill="1" applyBorder="1" applyAlignment="1" applyProtection="1"/>
    <xf numFmtId="166" fontId="20" fillId="0" borderId="9" xfId="75" applyNumberFormat="1" applyFont="1" applyBorder="1" applyProtection="1"/>
    <xf numFmtId="166" fontId="20" fillId="0" borderId="0" xfId="13" applyNumberFormat="1" applyFont="1" applyFill="1" applyBorder="1" applyAlignment="1" applyProtection="1"/>
    <xf numFmtId="166" fontId="20" fillId="0" borderId="9" xfId="13" applyNumberFormat="1" applyFont="1" applyFill="1" applyBorder="1" applyAlignment="1" applyProtection="1">
      <alignment horizontal="right"/>
    </xf>
    <xf numFmtId="166" fontId="20" fillId="0" borderId="0" xfId="13" applyNumberFormat="1" applyFont="1" applyFill="1" applyBorder="1" applyAlignment="1" applyProtection="1">
      <alignment horizontal="right"/>
    </xf>
    <xf numFmtId="166" fontId="20" fillId="0" borderId="11" xfId="13" applyNumberFormat="1" applyFont="1" applyFill="1" applyBorder="1" applyAlignment="1" applyProtection="1">
      <alignment horizontal="right"/>
    </xf>
    <xf numFmtId="166" fontId="20" fillId="0" borderId="9" xfId="75" applyNumberFormat="1" applyFont="1" applyBorder="1" applyAlignment="1" applyProtection="1">
      <alignment horizontal="right"/>
    </xf>
    <xf numFmtId="166" fontId="20" fillId="0" borderId="0" xfId="75" applyNumberFormat="1" applyFont="1" applyBorder="1" applyAlignment="1" applyProtection="1">
      <alignment horizontal="right"/>
    </xf>
    <xf numFmtId="166" fontId="20" fillId="0" borderId="9" xfId="13" applyNumberFormat="1" applyFont="1" applyFill="1" applyBorder="1" applyProtection="1"/>
    <xf numFmtId="166" fontId="20" fillId="0" borderId="9" xfId="75" applyNumberFormat="1" applyFont="1" applyFill="1" applyBorder="1" applyProtection="1"/>
    <xf numFmtId="166" fontId="20" fillId="0" borderId="0" xfId="13" applyNumberFormat="1" applyFont="1" applyProtection="1"/>
    <xf numFmtId="181" fontId="20" fillId="0" borderId="9" xfId="1" applyNumberFormat="1" applyFont="1" applyBorder="1" applyAlignment="1" applyProtection="1">
      <alignment horizontal="right"/>
    </xf>
    <xf numFmtId="166" fontId="20" fillId="0" borderId="9" xfId="75" applyNumberFormat="1" applyFont="1" applyFill="1" applyBorder="1" applyAlignment="1" applyProtection="1">
      <alignment horizontal="right"/>
    </xf>
    <xf numFmtId="166" fontId="20" fillId="0" borderId="9" xfId="13" applyNumberFormat="1" applyFont="1" applyBorder="1" applyAlignment="1" applyProtection="1">
      <alignment horizontal="right"/>
    </xf>
    <xf numFmtId="165" fontId="20" fillId="0" borderId="9" xfId="13" applyFont="1" applyBorder="1" applyAlignment="1" applyProtection="1">
      <alignment horizontal="right"/>
    </xf>
    <xf numFmtId="165" fontId="20" fillId="0" borderId="9" xfId="13" applyFont="1" applyFill="1" applyBorder="1" applyProtection="1"/>
    <xf numFmtId="166" fontId="20" fillId="0" borderId="0" xfId="75" applyNumberFormat="1" applyFont="1" applyFill="1" applyBorder="1" applyAlignment="1" applyProtection="1">
      <alignment horizontal="right"/>
    </xf>
    <xf numFmtId="166" fontId="20" fillId="0" borderId="11" xfId="75" applyNumberFormat="1" applyFont="1" applyFill="1" applyBorder="1" applyAlignment="1" applyProtection="1">
      <alignment horizontal="right"/>
    </xf>
    <xf numFmtId="166" fontId="20" fillId="0" borderId="10" xfId="75" applyNumberFormat="1" applyFont="1" applyFill="1" applyBorder="1" applyAlignment="1" applyProtection="1">
      <alignment horizontal="right"/>
    </xf>
    <xf numFmtId="168" fontId="20" fillId="0" borderId="9" xfId="75" applyNumberFormat="1" applyFont="1" applyBorder="1" applyAlignment="1" applyProtection="1">
      <alignment horizontal="right"/>
    </xf>
    <xf numFmtId="168" fontId="20" fillId="0" borderId="0" xfId="13" applyNumberFormat="1" applyFont="1" applyFill="1" applyBorder="1" applyAlignment="1" applyProtection="1">
      <alignment horizontal="right"/>
    </xf>
    <xf numFmtId="166" fontId="20" fillId="0" borderId="9" xfId="1" applyNumberFormat="1" applyFont="1" applyFill="1" applyBorder="1" applyAlignment="1" applyProtection="1">
      <alignment horizontal="right"/>
    </xf>
    <xf numFmtId="165" fontId="20" fillId="0" borderId="8" xfId="13" applyFont="1" applyBorder="1" applyAlignment="1" applyProtection="1">
      <alignment horizontal="right"/>
    </xf>
    <xf numFmtId="166" fontId="20" fillId="0" borderId="3" xfId="13" applyNumberFormat="1" applyFont="1" applyFill="1" applyBorder="1" applyProtection="1"/>
    <xf numFmtId="166" fontId="20" fillId="0" borderId="2" xfId="13" applyNumberFormat="1" applyFont="1" applyFill="1" applyBorder="1" applyProtection="1"/>
    <xf numFmtId="0" fontId="20" fillId="0" borderId="9" xfId="75" applyFont="1" applyFill="1" applyBorder="1" applyProtection="1"/>
    <xf numFmtId="181" fontId="20" fillId="0" borderId="3" xfId="1" applyNumberFormat="1" applyFont="1" applyFill="1" applyBorder="1" applyAlignment="1" applyProtection="1"/>
    <xf numFmtId="167" fontId="20" fillId="0" borderId="4" xfId="16" applyNumberFormat="1" applyFont="1" applyFill="1" applyBorder="1" applyAlignment="1" applyProtection="1">
      <alignment horizontal="right"/>
    </xf>
    <xf numFmtId="37" fontId="20" fillId="0" borderId="7" xfId="13" applyNumberFormat="1" applyFont="1" applyFill="1" applyBorder="1" applyAlignment="1" applyProtection="1">
      <alignment horizontal="right"/>
    </xf>
    <xf numFmtId="168" fontId="20" fillId="0" borderId="7" xfId="13" applyNumberFormat="1" applyFont="1" applyFill="1" applyBorder="1" applyProtection="1"/>
    <xf numFmtId="166" fontId="20" fillId="0" borderId="13" xfId="13" applyNumberFormat="1" applyFont="1" applyFill="1" applyBorder="1" applyAlignment="1" applyProtection="1">
      <alignment horizontal="right"/>
    </xf>
    <xf numFmtId="166" fontId="20" fillId="0" borderId="14" xfId="13" applyNumberFormat="1" applyFont="1" applyFill="1" applyBorder="1" applyAlignment="1" applyProtection="1">
      <alignment horizontal="right"/>
    </xf>
    <xf numFmtId="37" fontId="20" fillId="0" borderId="14" xfId="13" applyNumberFormat="1" applyFont="1" applyFill="1" applyBorder="1" applyAlignment="1" applyProtection="1">
      <alignment horizontal="right"/>
    </xf>
    <xf numFmtId="168" fontId="20" fillId="0" borderId="17" xfId="13" applyNumberFormat="1" applyFont="1" applyFill="1" applyBorder="1" applyProtection="1"/>
    <xf numFmtId="0" fontId="29" fillId="0" borderId="0" xfId="75" applyFont="1" applyBorder="1" applyProtection="1"/>
    <xf numFmtId="0" fontId="20" fillId="0" borderId="9" xfId="75" applyFont="1" applyFill="1" applyBorder="1" applyAlignment="1" applyProtection="1">
      <alignment horizontal="center"/>
    </xf>
    <xf numFmtId="0" fontId="20" fillId="0" borderId="0" xfId="75" applyFont="1" applyBorder="1" applyAlignment="1" applyProtection="1">
      <alignment horizontal="center"/>
    </xf>
    <xf numFmtId="37" fontId="20" fillId="0" borderId="8" xfId="13" applyNumberFormat="1" applyFont="1" applyFill="1" applyBorder="1" applyAlignment="1" applyProtection="1">
      <alignment horizontal="right"/>
    </xf>
    <xf numFmtId="168" fontId="20" fillId="0" borderId="9" xfId="13" applyNumberFormat="1" applyFont="1" applyFill="1" applyBorder="1" applyAlignment="1" applyProtection="1">
      <alignment horizontal="right"/>
    </xf>
    <xf numFmtId="166" fontId="20" fillId="0" borderId="19" xfId="13" applyNumberFormat="1" applyFont="1" applyFill="1" applyBorder="1" applyAlignment="1" applyProtection="1">
      <alignment horizontal="right"/>
    </xf>
    <xf numFmtId="166" fontId="20" fillId="0" borderId="17" xfId="13" applyNumberFormat="1" applyFont="1" applyFill="1" applyBorder="1" applyAlignment="1" applyProtection="1">
      <alignment horizontal="right"/>
    </xf>
    <xf numFmtId="166" fontId="20" fillId="0" borderId="19" xfId="13" applyNumberFormat="1" applyFont="1" applyFill="1" applyBorder="1" applyAlignment="1" applyProtection="1">
      <alignment horizontal="center"/>
    </xf>
    <xf numFmtId="166" fontId="20" fillId="0" borderId="17" xfId="13" applyNumberFormat="1" applyFont="1" applyFill="1" applyBorder="1" applyAlignment="1" applyProtection="1">
      <alignment horizontal="center"/>
    </xf>
    <xf numFmtId="37" fontId="20" fillId="0" borderId="18" xfId="13" applyNumberFormat="1" applyFont="1" applyFill="1" applyBorder="1" applyAlignment="1" applyProtection="1">
      <alignment horizontal="right"/>
    </xf>
    <xf numFmtId="37" fontId="20" fillId="0" borderId="17" xfId="13" applyNumberFormat="1" applyFont="1" applyFill="1" applyBorder="1" applyAlignment="1" applyProtection="1">
      <alignment horizontal="right"/>
    </xf>
    <xf numFmtId="168" fontId="20" fillId="0" borderId="18" xfId="13" applyNumberFormat="1" applyFont="1" applyFill="1" applyBorder="1" applyProtection="1"/>
    <xf numFmtId="0" fontId="20" fillId="0" borderId="0" xfId="16" applyNumberFormat="1" applyFont="1" applyFill="1" applyBorder="1" applyAlignment="1" applyProtection="1">
      <alignment horizontal="right"/>
    </xf>
    <xf numFmtId="169" fontId="20" fillId="0" borderId="0" xfId="75" applyNumberFormat="1" applyFont="1" applyFill="1" applyBorder="1" applyProtection="1"/>
    <xf numFmtId="167" fontId="20" fillId="0" borderId="0" xfId="75" applyNumberFormat="1" applyFont="1" applyBorder="1" applyProtection="1"/>
    <xf numFmtId="167" fontId="20" fillId="0" borderId="0" xfId="16" applyNumberFormat="1" applyFont="1" applyFill="1" applyBorder="1" applyProtection="1"/>
    <xf numFmtId="167" fontId="20" fillId="0" borderId="0" xfId="16" applyNumberFormat="1" applyFont="1" applyFill="1" applyProtection="1"/>
    <xf numFmtId="176" fontId="20" fillId="0" borderId="0" xfId="75" applyNumberFormat="1" applyFont="1" applyFill="1" applyBorder="1" applyAlignment="1" applyProtection="1">
      <alignment horizontal="center"/>
    </xf>
    <xf numFmtId="0" fontId="20" fillId="0" borderId="0" xfId="75" applyFont="1" applyFill="1" applyBorder="1" applyAlignment="1" applyProtection="1">
      <alignment horizontal="right"/>
    </xf>
    <xf numFmtId="0" fontId="20" fillId="0" borderId="0" xfId="75" applyFont="1" applyBorder="1" applyAlignment="1" applyProtection="1">
      <alignment horizontal="right"/>
    </xf>
    <xf numFmtId="170" fontId="20" fillId="0" borderId="0" xfId="16" applyNumberFormat="1" applyFont="1" applyFill="1" applyProtection="1"/>
    <xf numFmtId="180" fontId="20" fillId="0" borderId="0" xfId="75" applyNumberFormat="1" applyFont="1" applyFill="1" applyProtection="1"/>
    <xf numFmtId="169" fontId="20" fillId="0" borderId="0" xfId="75" applyNumberFormat="1" applyFont="1" applyFill="1" applyProtection="1"/>
    <xf numFmtId="0" fontId="20" fillId="0" borderId="6" xfId="75" applyFont="1" applyBorder="1" applyProtection="1"/>
    <xf numFmtId="0" fontId="20" fillId="0" borderId="2" xfId="75" applyFont="1" applyBorder="1" applyProtection="1"/>
    <xf numFmtId="0" fontId="20" fillId="0" borderId="7" xfId="75" applyFont="1" applyBorder="1" applyProtection="1"/>
    <xf numFmtId="0" fontId="20" fillId="0" borderId="0" xfId="75" applyFont="1" applyFill="1" applyBorder="1" applyAlignment="1" applyProtection="1">
      <alignment horizontal="center"/>
    </xf>
    <xf numFmtId="37" fontId="20" fillId="0" borderId="0" xfId="75" applyNumberFormat="1" applyFont="1" applyFill="1" applyBorder="1" applyProtection="1"/>
    <xf numFmtId="37" fontId="20" fillId="0" borderId="11" xfId="75" applyNumberFormat="1" applyFont="1" applyBorder="1" applyProtection="1"/>
    <xf numFmtId="37" fontId="20" fillId="0" borderId="3" xfId="75" applyNumberFormat="1" applyFont="1" applyFill="1" applyBorder="1" applyProtection="1"/>
    <xf numFmtId="37" fontId="20" fillId="0" borderId="0" xfId="13" applyNumberFormat="1" applyFont="1" applyFill="1" applyBorder="1" applyProtection="1"/>
    <xf numFmtId="37" fontId="20" fillId="0" borderId="2" xfId="13" applyNumberFormat="1" applyFont="1" applyFill="1" applyBorder="1" applyProtection="1"/>
    <xf numFmtId="37" fontId="20" fillId="0" borderId="11" xfId="13" applyNumberFormat="1" applyFont="1" applyFill="1" applyBorder="1" applyProtection="1"/>
    <xf numFmtId="37" fontId="20" fillId="0" borderId="4" xfId="13" applyNumberFormat="1" applyFont="1" applyFill="1" applyBorder="1" applyProtection="1"/>
    <xf numFmtId="167" fontId="20" fillId="0" borderId="4" xfId="75" applyNumberFormat="1" applyFont="1" applyFill="1" applyBorder="1" applyAlignment="1" applyProtection="1"/>
    <xf numFmtId="37" fontId="20" fillId="0" borderId="9" xfId="75" applyNumberFormat="1" applyFont="1" applyBorder="1" applyProtection="1"/>
    <xf numFmtId="37" fontId="20" fillId="0" borderId="7" xfId="13" applyNumberFormat="1" applyFont="1" applyFill="1" applyBorder="1" applyProtection="1"/>
    <xf numFmtId="37" fontId="20" fillId="0" borderId="10" xfId="13" applyNumberFormat="1" applyFont="1" applyFill="1" applyBorder="1" applyProtection="1"/>
    <xf numFmtId="168" fontId="20" fillId="0" borderId="0" xfId="16" applyNumberFormat="1" applyFont="1" applyFill="1" applyBorder="1" applyAlignment="1" applyProtection="1">
      <alignment horizontal="right"/>
    </xf>
    <xf numFmtId="181" fontId="20" fillId="0" borderId="0" xfId="1" applyNumberFormat="1" applyFont="1" applyFill="1" applyBorder="1" applyAlignment="1" applyProtection="1"/>
    <xf numFmtId="167" fontId="20" fillId="0" borderId="11" xfId="75" applyNumberFormat="1" applyFont="1" applyFill="1" applyBorder="1" applyAlignment="1" applyProtection="1"/>
    <xf numFmtId="37" fontId="20" fillId="0" borderId="9" xfId="13" applyNumberFormat="1" applyFont="1" applyFill="1" applyBorder="1" applyProtection="1"/>
    <xf numFmtId="37" fontId="20" fillId="0" borderId="5" xfId="13" applyNumberFormat="1" applyFont="1" applyFill="1" applyBorder="1" applyProtection="1"/>
    <xf numFmtId="37" fontId="20" fillId="0" borderId="8" xfId="13" applyNumberFormat="1" applyFont="1" applyFill="1" applyBorder="1" applyProtection="1"/>
    <xf numFmtId="168" fontId="20" fillId="0" borderId="8" xfId="13" applyNumberFormat="1" applyFont="1" applyFill="1" applyBorder="1" applyProtection="1"/>
    <xf numFmtId="37" fontId="20" fillId="0" borderId="6" xfId="75" applyNumberFormat="1" applyFont="1" applyFill="1" applyBorder="1" applyProtection="1"/>
    <xf numFmtId="37" fontId="20" fillId="0" borderId="1" xfId="75" applyNumberFormat="1" applyFont="1" applyBorder="1" applyProtection="1"/>
    <xf numFmtId="37" fontId="20" fillId="0" borderId="1" xfId="13" applyNumberFormat="1" applyFont="1" applyFill="1" applyBorder="1" applyProtection="1"/>
    <xf numFmtId="181" fontId="20" fillId="0" borderId="6" xfId="1" applyNumberFormat="1" applyFont="1" applyFill="1" applyBorder="1" applyAlignment="1" applyProtection="1"/>
    <xf numFmtId="37" fontId="20" fillId="0" borderId="8" xfId="75" applyNumberFormat="1" applyFont="1" applyBorder="1" applyProtection="1"/>
    <xf numFmtId="168" fontId="20" fillId="0" borderId="0" xfId="75" applyNumberFormat="1" applyFont="1" applyFill="1" applyBorder="1" applyAlignment="1" applyProtection="1"/>
    <xf numFmtId="167" fontId="20" fillId="0" borderId="0" xfId="75" applyNumberFormat="1" applyFont="1" applyFill="1" applyBorder="1" applyAlignment="1" applyProtection="1"/>
    <xf numFmtId="37" fontId="20" fillId="0" borderId="11" xfId="75" applyNumberFormat="1" applyFont="1" applyFill="1" applyBorder="1" applyProtection="1"/>
    <xf numFmtId="37" fontId="20" fillId="0" borderId="10" xfId="75" applyNumberFormat="1" applyFont="1" applyFill="1" applyBorder="1" applyProtection="1"/>
    <xf numFmtId="37" fontId="20" fillId="0" borderId="10" xfId="75" applyNumberFormat="1" applyFont="1" applyBorder="1" applyProtection="1"/>
    <xf numFmtId="37" fontId="20" fillId="0" borderId="4" xfId="75" applyNumberFormat="1" applyFont="1" applyFill="1" applyBorder="1" applyProtection="1"/>
    <xf numFmtId="181" fontId="20" fillId="0" borderId="3" xfId="13" applyNumberFormat="1" applyFont="1" applyFill="1" applyBorder="1" applyAlignment="1" applyProtection="1"/>
    <xf numFmtId="37" fontId="20" fillId="0" borderId="7" xfId="75" applyNumberFormat="1" applyFont="1" applyFill="1" applyBorder="1" applyProtection="1"/>
    <xf numFmtId="181" fontId="20" fillId="0" borderId="0" xfId="13" applyNumberFormat="1" applyFont="1" applyFill="1" applyBorder="1" applyAlignment="1" applyProtection="1"/>
    <xf numFmtId="37" fontId="20" fillId="0" borderId="9" xfId="75" applyNumberFormat="1" applyFont="1" applyFill="1" applyBorder="1" applyProtection="1"/>
    <xf numFmtId="181" fontId="20" fillId="0" borderId="0" xfId="13" applyNumberFormat="1" applyFont="1" applyBorder="1" applyAlignment="1" applyProtection="1"/>
    <xf numFmtId="181" fontId="20" fillId="0" borderId="9" xfId="13" applyNumberFormat="1" applyFont="1" applyFill="1" applyBorder="1" applyProtection="1"/>
    <xf numFmtId="181" fontId="20" fillId="0" borderId="0" xfId="13" applyNumberFormat="1" applyFont="1" applyFill="1" applyBorder="1" applyProtection="1"/>
    <xf numFmtId="165" fontId="20" fillId="0" borderId="0" xfId="13" applyFont="1" applyFill="1" applyBorder="1" applyProtection="1"/>
    <xf numFmtId="181" fontId="20" fillId="0" borderId="0" xfId="1" applyNumberFormat="1" applyFont="1" applyBorder="1" applyAlignment="1" applyProtection="1"/>
    <xf numFmtId="181" fontId="20" fillId="0" borderId="6" xfId="13" applyNumberFormat="1" applyFont="1" applyFill="1" applyBorder="1" applyProtection="1"/>
    <xf numFmtId="165" fontId="20" fillId="0" borderId="6" xfId="13" applyFont="1" applyFill="1" applyBorder="1" applyProtection="1"/>
    <xf numFmtId="165" fontId="20" fillId="0" borderId="10" xfId="13" applyFont="1" applyBorder="1" applyProtection="1"/>
    <xf numFmtId="165" fontId="20" fillId="0" borderId="1" xfId="13" applyFont="1" applyFill="1" applyBorder="1" applyProtection="1"/>
    <xf numFmtId="37" fontId="20" fillId="0" borderId="1" xfId="75" applyNumberFormat="1" applyFont="1" applyFill="1" applyBorder="1" applyProtection="1"/>
    <xf numFmtId="37" fontId="20" fillId="0" borderId="8" xfId="75" applyNumberFormat="1" applyFont="1" applyFill="1" applyBorder="1" applyProtection="1"/>
    <xf numFmtId="37" fontId="20" fillId="0" borderId="13" xfId="75" applyNumberFormat="1" applyFont="1" applyBorder="1" applyProtection="1"/>
    <xf numFmtId="37" fontId="20" fillId="0" borderId="14" xfId="75" applyNumberFormat="1" applyFont="1" applyBorder="1" applyProtection="1"/>
    <xf numFmtId="37" fontId="20" fillId="0" borderId="12" xfId="75" applyNumberFormat="1" applyFont="1" applyBorder="1" applyProtection="1"/>
    <xf numFmtId="0" fontId="15" fillId="0" borderId="9" xfId="75" applyBorder="1" applyProtection="1"/>
    <xf numFmtId="181" fontId="20" fillId="0" borderId="13" xfId="13" applyNumberFormat="1" applyFont="1" applyBorder="1" applyAlignment="1" applyProtection="1"/>
    <xf numFmtId="167" fontId="20" fillId="0" borderId="14" xfId="75" applyNumberFormat="1" applyFont="1" applyFill="1" applyBorder="1" applyAlignment="1" applyProtection="1"/>
    <xf numFmtId="168" fontId="20" fillId="0" borderId="15" xfId="75" applyNumberFormat="1" applyFont="1" applyBorder="1" applyProtection="1"/>
    <xf numFmtId="168" fontId="20" fillId="0" borderId="14" xfId="75" applyNumberFormat="1" applyFont="1" applyBorder="1" applyProtection="1"/>
    <xf numFmtId="37" fontId="20" fillId="0" borderId="6" xfId="75" applyNumberFormat="1" applyFont="1" applyBorder="1" applyProtection="1"/>
    <xf numFmtId="37" fontId="20" fillId="0" borderId="0" xfId="75" applyNumberFormat="1" applyFont="1" applyBorder="1" applyProtection="1"/>
    <xf numFmtId="37" fontId="20" fillId="0" borderId="5" xfId="75" applyNumberFormat="1" applyFont="1" applyBorder="1" applyProtection="1"/>
    <xf numFmtId="181" fontId="20" fillId="0" borderId="6" xfId="13" applyNumberFormat="1" applyFont="1" applyBorder="1" applyAlignment="1" applyProtection="1"/>
    <xf numFmtId="167" fontId="20" fillId="0" borderId="1" xfId="75" applyNumberFormat="1" applyFont="1" applyFill="1" applyBorder="1" applyAlignment="1" applyProtection="1"/>
    <xf numFmtId="168" fontId="20" fillId="0" borderId="8" xfId="75" applyNumberFormat="1" applyFont="1" applyBorder="1" applyProtection="1"/>
    <xf numFmtId="168" fontId="20" fillId="0" borderId="1" xfId="75" applyNumberFormat="1" applyFont="1" applyBorder="1" applyProtection="1"/>
    <xf numFmtId="168" fontId="20" fillId="0" borderId="0" xfId="75" applyNumberFormat="1" applyFont="1" applyBorder="1" applyProtection="1"/>
    <xf numFmtId="168" fontId="20" fillId="0" borderId="13" xfId="76" applyNumberFormat="1" applyFont="1" applyBorder="1" applyProtection="1"/>
    <xf numFmtId="168" fontId="20" fillId="0" borderId="1" xfId="76" applyNumberFormat="1" applyFont="1" applyBorder="1" applyProtection="1"/>
    <xf numFmtId="37" fontId="20" fillId="0" borderId="5" xfId="76" applyNumberFormat="1" applyFont="1" applyBorder="1" applyProtection="1"/>
    <xf numFmtId="37" fontId="20" fillId="0" borderId="6" xfId="76" applyNumberFormat="1" applyFont="1" applyBorder="1" applyProtection="1"/>
    <xf numFmtId="37" fontId="20" fillId="0" borderId="1" xfId="76" applyNumberFormat="1" applyFont="1" applyBorder="1" applyProtection="1"/>
    <xf numFmtId="37" fontId="20" fillId="0" borderId="5" xfId="76" applyNumberFormat="1" applyFont="1" applyBorder="1" applyAlignment="1" applyProtection="1">
      <alignment horizontal="center"/>
    </xf>
    <xf numFmtId="37" fontId="20" fillId="0" borderId="6" xfId="76" applyNumberFormat="1" applyFont="1" applyBorder="1" applyAlignment="1" applyProtection="1">
      <alignment horizontal="center"/>
    </xf>
    <xf numFmtId="37" fontId="20" fillId="0" borderId="1" xfId="76" applyNumberFormat="1" applyFont="1" applyBorder="1" applyAlignment="1" applyProtection="1">
      <alignment horizontal="center"/>
    </xf>
    <xf numFmtId="37" fontId="20" fillId="0" borderId="0" xfId="76" applyNumberFormat="1" applyFont="1" applyBorder="1" applyAlignment="1" applyProtection="1">
      <alignment horizontal="center"/>
    </xf>
    <xf numFmtId="183" fontId="79" fillId="0" borderId="0" xfId="76" applyNumberFormat="1" applyFill="1" applyBorder="1" applyAlignment="1" applyProtection="1">
      <alignment horizontal="center"/>
    </xf>
    <xf numFmtId="183" fontId="79" fillId="0" borderId="9" xfId="76" applyNumberFormat="1" applyBorder="1" applyAlignment="1" applyProtection="1">
      <alignment horizontal="center"/>
    </xf>
    <xf numFmtId="167" fontId="20" fillId="0" borderId="1" xfId="76" applyNumberFormat="1" applyFont="1" applyFill="1" applyBorder="1" applyAlignment="1" applyProtection="1">
      <alignment horizontal="right"/>
    </xf>
    <xf numFmtId="183" fontId="79" fillId="0" borderId="0" xfId="76" applyNumberFormat="1" applyAlignment="1" applyProtection="1">
      <alignment horizontal="center"/>
    </xf>
    <xf numFmtId="181" fontId="20" fillId="0" borderId="8" xfId="1" applyNumberFormat="1" applyFont="1" applyBorder="1" applyAlignment="1" applyProtection="1">
      <alignment horizontal="center"/>
    </xf>
    <xf numFmtId="37" fontId="20" fillId="0" borderId="8" xfId="76" applyNumberFormat="1" applyFont="1" applyBorder="1" applyAlignment="1" applyProtection="1">
      <alignment horizontal="center"/>
    </xf>
    <xf numFmtId="168" fontId="20" fillId="0" borderId="0" xfId="76" applyNumberFormat="1" applyFont="1" applyBorder="1" applyProtection="1"/>
    <xf numFmtId="167" fontId="20" fillId="0" borderId="0" xfId="76" applyNumberFormat="1" applyFont="1" applyProtection="1"/>
    <xf numFmtId="183" fontId="79" fillId="0" borderId="0" xfId="76" applyNumberFormat="1" applyProtection="1"/>
    <xf numFmtId="168" fontId="15" fillId="0" borderId="0" xfId="75" applyNumberFormat="1" applyBorder="1" applyProtection="1"/>
    <xf numFmtId="37" fontId="15" fillId="0" borderId="0" xfId="75" applyNumberFormat="1" applyBorder="1" applyAlignment="1" applyProtection="1"/>
    <xf numFmtId="37" fontId="15" fillId="0" borderId="0" xfId="75" applyNumberFormat="1" applyFill="1" applyBorder="1" applyProtection="1"/>
    <xf numFmtId="168" fontId="20" fillId="0" borderId="0" xfId="75" applyNumberFormat="1" applyFont="1" applyProtection="1"/>
    <xf numFmtId="168" fontId="20" fillId="0" borderId="0" xfId="75" applyNumberFormat="1" applyFont="1" applyAlignment="1" applyProtection="1"/>
    <xf numFmtId="169" fontId="20" fillId="0" borderId="0" xfId="13" applyNumberFormat="1" applyFont="1" applyFill="1" applyBorder="1" applyProtection="1"/>
    <xf numFmtId="169" fontId="15" fillId="0" borderId="0" xfId="75" applyNumberFormat="1" applyFill="1" applyBorder="1" applyProtection="1"/>
    <xf numFmtId="3" fontId="15" fillId="0" borderId="0" xfId="75" applyNumberFormat="1" applyBorder="1" applyProtection="1"/>
    <xf numFmtId="37" fontId="15" fillId="0" borderId="0" xfId="75" applyNumberFormat="1" applyProtection="1"/>
    <xf numFmtId="39" fontId="20" fillId="0" borderId="0" xfId="75" applyNumberFormat="1" applyFont="1" applyFill="1" applyBorder="1" applyProtection="1"/>
    <xf numFmtId="174" fontId="20" fillId="0" borderId="0" xfId="75" applyNumberFormat="1" applyFont="1" applyFill="1" applyBorder="1" applyAlignment="1" applyProtection="1">
      <alignment horizontal="right"/>
    </xf>
    <xf numFmtId="171" fontId="20" fillId="0" borderId="0" xfId="75" applyNumberFormat="1" applyFont="1" applyFill="1" applyBorder="1" applyProtection="1"/>
    <xf numFmtId="169" fontId="20" fillId="0" borderId="0" xfId="75" applyNumberFormat="1" applyFont="1" applyFill="1" applyBorder="1" applyAlignment="1" applyProtection="1">
      <alignment horizontal="right"/>
    </xf>
    <xf numFmtId="170" fontId="20" fillId="0" borderId="0" xfId="16" applyNumberFormat="1" applyFont="1" applyFill="1" applyBorder="1" applyProtection="1"/>
    <xf numFmtId="172" fontId="20" fillId="0" borderId="0" xfId="75" applyNumberFormat="1" applyFont="1" applyFill="1" applyBorder="1" applyProtection="1"/>
    <xf numFmtId="0" fontId="20" fillId="0" borderId="3" xfId="75" applyFont="1" applyBorder="1" applyProtection="1">
      <protection locked="0"/>
    </xf>
    <xf numFmtId="37" fontId="20" fillId="0" borderId="13" xfId="13" applyNumberFormat="1" applyFont="1" applyFill="1" applyBorder="1" applyProtection="1">
      <protection locked="0"/>
    </xf>
    <xf numFmtId="168" fontId="20" fillId="0" borderId="10" xfId="1" applyNumberFormat="1" applyFont="1" applyFill="1" applyBorder="1" applyAlignment="1" applyProtection="1">
      <alignment horizontal="right"/>
      <protection locked="0"/>
    </xf>
    <xf numFmtId="168" fontId="20" fillId="0" borderId="5" xfId="1" applyNumberFormat="1" applyFont="1" applyFill="1" applyBorder="1" applyAlignment="1" applyProtection="1">
      <alignment horizontal="right"/>
      <protection locked="0"/>
    </xf>
    <xf numFmtId="168" fontId="20" fillId="0" borderId="13" xfId="13" applyNumberFormat="1" applyFont="1" applyFill="1" applyBorder="1" applyAlignment="1" applyProtection="1">
      <alignment horizontal="right"/>
      <protection locked="0"/>
    </xf>
    <xf numFmtId="183" fontId="79" fillId="0" borderId="9" xfId="157" applyNumberFormat="1" applyBorder="1" applyProtection="1">
      <protection locked="0"/>
    </xf>
    <xf numFmtId="168" fontId="20" fillId="0" borderId="13" xfId="157" applyNumberFormat="1" applyFont="1" applyBorder="1" applyProtection="1">
      <protection locked="0"/>
    </xf>
    <xf numFmtId="183" fontId="17" fillId="0" borderId="0" xfId="77" applyFont="1" applyProtection="1"/>
    <xf numFmtId="183" fontId="20" fillId="0" borderId="0" xfId="157" applyNumberFormat="1" applyFont="1" applyFill="1" applyBorder="1" applyProtection="1"/>
    <xf numFmtId="168" fontId="15" fillId="0" borderId="0" xfId="75" applyNumberFormat="1" applyProtection="1"/>
    <xf numFmtId="0" fontId="20" fillId="0" borderId="3" xfId="75" applyFont="1" applyBorder="1" applyProtection="1"/>
    <xf numFmtId="0" fontId="20" fillId="0" borderId="4" xfId="75" applyFont="1" applyBorder="1" applyProtection="1"/>
    <xf numFmtId="0" fontId="26" fillId="0" borderId="2" xfId="75" applyFont="1" applyBorder="1" applyAlignment="1" applyProtection="1">
      <alignment horizontal="center"/>
    </xf>
    <xf numFmtId="175" fontId="20" fillId="0" borderId="2" xfId="13" applyNumberFormat="1" applyFont="1" applyFill="1" applyBorder="1" applyProtection="1"/>
    <xf numFmtId="168" fontId="20" fillId="0" borderId="0" xfId="75" applyNumberFormat="1" applyFont="1" applyFill="1" applyProtection="1"/>
    <xf numFmtId="168" fontId="20" fillId="0" borderId="11" xfId="75" applyNumberFormat="1" applyFont="1" applyFill="1" applyBorder="1" applyProtection="1"/>
    <xf numFmtId="37" fontId="20" fillId="0" borderId="10" xfId="77" applyNumberFormat="1" applyFont="1" applyFill="1" applyBorder="1" applyAlignment="1" applyProtection="1">
      <alignment horizontal="right"/>
    </xf>
    <xf numFmtId="175" fontId="20" fillId="0" borderId="10" xfId="13" applyNumberFormat="1" applyFont="1" applyFill="1" applyBorder="1" applyProtection="1"/>
    <xf numFmtId="37" fontId="20" fillId="0" borderId="13" xfId="13" applyNumberFormat="1" applyFont="1" applyFill="1" applyBorder="1" applyProtection="1"/>
    <xf numFmtId="37" fontId="20" fillId="0" borderId="14" xfId="13" applyNumberFormat="1" applyFont="1" applyFill="1" applyBorder="1" applyProtection="1"/>
    <xf numFmtId="37" fontId="20" fillId="0" borderId="12" xfId="13" applyNumberFormat="1" applyFont="1" applyFill="1" applyBorder="1" applyProtection="1"/>
    <xf numFmtId="37" fontId="20" fillId="0" borderId="3" xfId="16" applyNumberFormat="1" applyFont="1" applyFill="1" applyBorder="1" applyAlignment="1" applyProtection="1">
      <alignment horizontal="right"/>
    </xf>
    <xf numFmtId="0" fontId="20" fillId="0" borderId="9" xfId="75" applyFont="1" applyFill="1" applyBorder="1" applyAlignment="1" applyProtection="1">
      <alignment horizontal="right"/>
    </xf>
    <xf numFmtId="168" fontId="20" fillId="0" borderId="11" xfId="13" applyNumberFormat="1" applyFont="1" applyFill="1" applyBorder="1" applyAlignment="1" applyProtection="1">
      <alignment horizontal="right"/>
    </xf>
    <xf numFmtId="168" fontId="20" fillId="0" borderId="1" xfId="1" applyNumberFormat="1" applyFont="1" applyFill="1" applyBorder="1" applyAlignment="1" applyProtection="1">
      <alignment horizontal="right"/>
    </xf>
    <xf numFmtId="165" fontId="20" fillId="0" borderId="0" xfId="13" applyFont="1" applyFill="1" applyBorder="1" applyAlignment="1" applyProtection="1">
      <alignment horizontal="right"/>
    </xf>
    <xf numFmtId="165" fontId="20" fillId="0" borderId="6" xfId="13" applyFont="1" applyFill="1" applyBorder="1" applyAlignment="1" applyProtection="1">
      <alignment horizontal="right"/>
    </xf>
    <xf numFmtId="165" fontId="20" fillId="0" borderId="1" xfId="13" applyFont="1" applyFill="1" applyBorder="1" applyAlignment="1" applyProtection="1">
      <alignment horizontal="right"/>
    </xf>
    <xf numFmtId="168" fontId="20" fillId="0" borderId="5" xfId="75" applyNumberFormat="1" applyFont="1" applyFill="1" applyBorder="1" applyAlignment="1" applyProtection="1">
      <alignment horizontal="right"/>
    </xf>
    <xf numFmtId="168" fontId="20" fillId="0" borderId="10" xfId="75" applyNumberFormat="1" applyFont="1" applyFill="1" applyBorder="1" applyAlignment="1" applyProtection="1">
      <alignment horizontal="right"/>
    </xf>
    <xf numFmtId="168" fontId="20" fillId="0" borderId="11" xfId="75" applyNumberFormat="1" applyFont="1" applyFill="1" applyBorder="1" applyAlignment="1" applyProtection="1">
      <alignment horizontal="right"/>
    </xf>
    <xf numFmtId="168" fontId="20" fillId="0" borderId="9" xfId="75" applyNumberFormat="1" applyFont="1" applyFill="1" applyBorder="1" applyAlignment="1" applyProtection="1">
      <alignment horizontal="right"/>
    </xf>
    <xf numFmtId="168" fontId="20" fillId="0" borderId="9" xfId="75" applyNumberFormat="1" applyFont="1" applyFill="1" applyBorder="1" applyProtection="1"/>
    <xf numFmtId="165" fontId="20" fillId="0" borderId="11" xfId="13" applyFont="1" applyFill="1" applyBorder="1" applyAlignment="1" applyProtection="1">
      <alignment horizontal="right"/>
    </xf>
    <xf numFmtId="165" fontId="20" fillId="0" borderId="11" xfId="13" applyFont="1" applyFill="1" applyBorder="1" applyProtection="1"/>
    <xf numFmtId="165" fontId="20" fillId="0" borderId="10" xfId="13" applyFont="1" applyFill="1" applyBorder="1" applyProtection="1"/>
    <xf numFmtId="179" fontId="20" fillId="0" borderId="0" xfId="13" applyNumberFormat="1" applyFont="1" applyFill="1" applyBorder="1" applyAlignment="1" applyProtection="1">
      <alignment horizontal="right"/>
    </xf>
    <xf numFmtId="179" fontId="20" fillId="0" borderId="0" xfId="13" applyNumberFormat="1" applyFont="1" applyFill="1" applyBorder="1" applyAlignment="1" applyProtection="1"/>
    <xf numFmtId="165" fontId="20" fillId="0" borderId="0" xfId="13" applyFont="1" applyFill="1" applyProtection="1"/>
    <xf numFmtId="37" fontId="20" fillId="0" borderId="3" xfId="13" applyNumberFormat="1" applyFont="1" applyFill="1" applyBorder="1" applyProtection="1"/>
    <xf numFmtId="37" fontId="20" fillId="0" borderId="3" xfId="13" applyNumberFormat="1" applyFont="1" applyFill="1" applyBorder="1" applyAlignment="1" applyProtection="1"/>
    <xf numFmtId="168" fontId="20" fillId="0" borderId="19" xfId="13" applyNumberFormat="1" applyFont="1" applyFill="1" applyBorder="1" applyProtection="1"/>
    <xf numFmtId="0" fontId="29" fillId="0" borderId="10" xfId="75" applyFont="1" applyBorder="1" applyProtection="1"/>
    <xf numFmtId="168" fontId="20" fillId="0" borderId="10" xfId="1" applyNumberFormat="1" applyFont="1" applyFill="1" applyBorder="1" applyAlignment="1" applyProtection="1">
      <alignment horizontal="right"/>
    </xf>
    <xf numFmtId="168" fontId="20" fillId="0" borderId="5" xfId="1" applyNumberFormat="1" applyFont="1" applyFill="1" applyBorder="1" applyAlignment="1" applyProtection="1">
      <alignment horizontal="right"/>
    </xf>
    <xf numFmtId="168" fontId="20" fillId="0" borderId="8" xfId="1" applyNumberFormat="1" applyFont="1" applyFill="1" applyBorder="1" applyAlignment="1" applyProtection="1">
      <alignment horizontal="right"/>
    </xf>
    <xf numFmtId="168" fontId="20" fillId="0" borderId="13" xfId="13" applyNumberFormat="1" applyFont="1" applyFill="1" applyBorder="1" applyAlignment="1" applyProtection="1">
      <alignment horizontal="right"/>
    </xf>
    <xf numFmtId="168" fontId="20" fillId="0" borderId="13" xfId="1" applyNumberFormat="1" applyFont="1" applyFill="1" applyBorder="1" applyAlignment="1" applyProtection="1">
      <alignment horizontal="right"/>
    </xf>
    <xf numFmtId="168" fontId="20" fillId="0" borderId="14" xfId="1" applyNumberFormat="1" applyFont="1" applyFill="1" applyBorder="1" applyAlignment="1" applyProtection="1">
      <alignment horizontal="right"/>
    </xf>
    <xf numFmtId="181" fontId="20" fillId="0" borderId="11" xfId="1" applyNumberFormat="1" applyFont="1" applyFill="1" applyBorder="1" applyAlignment="1" applyProtection="1">
      <alignment horizontal="center"/>
    </xf>
    <xf numFmtId="181" fontId="20" fillId="0" borderId="9" xfId="1" applyNumberFormat="1" applyFont="1" applyFill="1" applyBorder="1" applyAlignment="1" applyProtection="1">
      <alignment horizontal="center"/>
    </xf>
    <xf numFmtId="168" fontId="20" fillId="0" borderId="15" xfId="13" applyNumberFormat="1" applyFont="1" applyFill="1" applyBorder="1" applyAlignment="1" applyProtection="1">
      <alignment horizontal="right"/>
    </xf>
    <xf numFmtId="37" fontId="20" fillId="0" borderId="19" xfId="13" applyNumberFormat="1" applyFont="1" applyFill="1" applyBorder="1" applyAlignment="1" applyProtection="1">
      <alignment horizontal="right"/>
    </xf>
    <xf numFmtId="181" fontId="20" fillId="0" borderId="19" xfId="1" applyNumberFormat="1" applyFont="1" applyFill="1" applyBorder="1" applyAlignment="1" applyProtection="1">
      <alignment horizontal="center"/>
    </xf>
    <xf numFmtId="181" fontId="20" fillId="0" borderId="17" xfId="1" applyNumberFormat="1" applyFont="1" applyFill="1" applyBorder="1" applyAlignment="1" applyProtection="1">
      <alignment horizontal="center"/>
    </xf>
    <xf numFmtId="37" fontId="20" fillId="0" borderId="0" xfId="13" applyNumberFormat="1" applyFont="1" applyFill="1" applyBorder="1" applyAlignment="1" applyProtection="1"/>
    <xf numFmtId="181" fontId="20" fillId="0" borderId="2" xfId="1" applyNumberFormat="1" applyFont="1" applyBorder="1" applyAlignment="1" applyProtection="1"/>
    <xf numFmtId="181" fontId="20" fillId="0" borderId="10" xfId="1" applyNumberFormat="1" applyFont="1" applyBorder="1" applyAlignment="1" applyProtection="1"/>
    <xf numFmtId="181" fontId="20" fillId="0" borderId="5" xfId="1" applyNumberFormat="1" applyFont="1" applyBorder="1" applyAlignment="1" applyProtection="1"/>
    <xf numFmtId="181" fontId="20" fillId="0" borderId="6" xfId="1" applyNumberFormat="1" applyFont="1" applyBorder="1" applyAlignment="1" applyProtection="1"/>
    <xf numFmtId="168" fontId="20" fillId="0" borderId="13" xfId="157" applyNumberFormat="1" applyFont="1" applyBorder="1" applyProtection="1"/>
    <xf numFmtId="168" fontId="20" fillId="0" borderId="1" xfId="157" applyNumberFormat="1" applyFont="1" applyBorder="1" applyProtection="1"/>
    <xf numFmtId="168" fontId="20" fillId="0" borderId="5" xfId="157" applyNumberFormat="1" applyFont="1" applyBorder="1" applyProtection="1"/>
    <xf numFmtId="168" fontId="20" fillId="0" borderId="6" xfId="157" applyNumberFormat="1" applyFont="1" applyBorder="1" applyProtection="1"/>
    <xf numFmtId="168" fontId="20" fillId="0" borderId="5" xfId="157" applyNumberFormat="1" applyFont="1" applyBorder="1" applyAlignment="1" applyProtection="1">
      <alignment horizontal="center"/>
    </xf>
    <xf numFmtId="168" fontId="20" fillId="0" borderId="6" xfId="157" applyNumberFormat="1" applyFont="1" applyBorder="1" applyAlignment="1" applyProtection="1">
      <alignment horizontal="center"/>
    </xf>
    <xf numFmtId="168" fontId="20" fillId="0" borderId="1" xfId="157" applyNumberFormat="1" applyFont="1" applyBorder="1" applyAlignment="1" applyProtection="1">
      <alignment horizontal="center"/>
    </xf>
    <xf numFmtId="168" fontId="20" fillId="0" borderId="0" xfId="157" applyNumberFormat="1" applyFont="1" applyBorder="1" applyAlignment="1" applyProtection="1">
      <alignment horizontal="center"/>
    </xf>
    <xf numFmtId="168" fontId="79" fillId="0" borderId="0" xfId="157" applyNumberFormat="1" applyFill="1" applyBorder="1" applyAlignment="1" applyProtection="1">
      <alignment horizontal="center"/>
    </xf>
    <xf numFmtId="168" fontId="79" fillId="0" borderId="9" xfId="157" applyNumberFormat="1" applyBorder="1" applyAlignment="1" applyProtection="1">
      <alignment horizontal="center"/>
    </xf>
    <xf numFmtId="167" fontId="20" fillId="0" borderId="1" xfId="157" applyNumberFormat="1" applyFont="1" applyFill="1" applyBorder="1" applyAlignment="1" applyProtection="1">
      <alignment horizontal="right"/>
    </xf>
    <xf numFmtId="183" fontId="79" fillId="0" borderId="0" xfId="157" applyNumberFormat="1" applyAlignment="1" applyProtection="1">
      <alignment horizontal="center"/>
    </xf>
    <xf numFmtId="37" fontId="20" fillId="0" borderId="8" xfId="157" applyNumberFormat="1" applyFont="1" applyBorder="1" applyAlignment="1" applyProtection="1">
      <alignment horizontal="center"/>
    </xf>
    <xf numFmtId="168" fontId="20" fillId="0" borderId="0" xfId="157" applyNumberFormat="1" applyFont="1" applyBorder="1" applyProtection="1"/>
    <xf numFmtId="167" fontId="20" fillId="0" borderId="0" xfId="157" applyNumberFormat="1" applyFont="1" applyProtection="1"/>
    <xf numFmtId="183" fontId="79" fillId="0" borderId="0" xfId="157" applyNumberFormat="1" applyProtection="1"/>
    <xf numFmtId="0" fontId="15" fillId="0" borderId="0" xfId="75" applyFont="1" applyBorder="1" applyProtection="1">
      <protection locked="0"/>
    </xf>
    <xf numFmtId="0" fontId="15" fillId="0" borderId="0" xfId="75" applyFont="1" applyProtection="1">
      <protection locked="0"/>
    </xf>
    <xf numFmtId="181" fontId="20" fillId="0" borderId="13" xfId="1" applyNumberFormat="1" applyFont="1" applyBorder="1" applyAlignment="1" applyProtection="1">
      <alignment horizontal="right"/>
      <protection locked="0"/>
    </xf>
    <xf numFmtId="167" fontId="20" fillId="0" borderId="14" xfId="75" applyNumberFormat="1" applyFont="1" applyFill="1" applyBorder="1" applyAlignment="1" applyProtection="1">
      <alignment horizontal="right"/>
    </xf>
    <xf numFmtId="37" fontId="18" fillId="0" borderId="0" xfId="75" applyNumberFormat="1" applyFont="1" applyFill="1" applyBorder="1" applyAlignment="1" applyProtection="1">
      <alignment horizontal="left"/>
    </xf>
    <xf numFmtId="168" fontId="15" fillId="0" borderId="0" xfId="75" applyNumberFormat="1" applyAlignment="1" applyProtection="1"/>
    <xf numFmtId="0" fontId="20" fillId="0" borderId="3" xfId="75" applyFont="1" applyBorder="1" applyAlignment="1" applyProtection="1"/>
    <xf numFmtId="0" fontId="20" fillId="0" borderId="4" xfId="75" applyFont="1" applyBorder="1" applyAlignment="1" applyProtection="1"/>
    <xf numFmtId="168" fontId="20" fillId="0" borderId="11" xfId="75" applyNumberFormat="1" applyFont="1" applyBorder="1" applyProtection="1"/>
    <xf numFmtId="168" fontId="20" fillId="0" borderId="10" xfId="75" applyNumberFormat="1" applyFont="1" applyBorder="1" applyProtection="1"/>
    <xf numFmtId="37" fontId="20" fillId="0" borderId="10" xfId="77" applyNumberFormat="1" applyFont="1" applyBorder="1" applyAlignment="1" applyProtection="1">
      <alignment horizontal="right"/>
    </xf>
    <xf numFmtId="37" fontId="20" fillId="0" borderId="11" xfId="16" applyNumberFormat="1" applyFont="1" applyFill="1" applyBorder="1" applyAlignment="1" applyProtection="1">
      <alignment horizontal="right"/>
    </xf>
    <xf numFmtId="168" fontId="20" fillId="0" borderId="9" xfId="75" applyNumberFormat="1" applyFont="1" applyBorder="1" applyProtection="1"/>
    <xf numFmtId="168" fontId="20" fillId="0" borderId="8" xfId="13" applyNumberFormat="1" applyFont="1" applyBorder="1" applyAlignment="1" applyProtection="1">
      <alignment horizontal="right"/>
    </xf>
    <xf numFmtId="165" fontId="20" fillId="0" borderId="9" xfId="1" applyFont="1" applyBorder="1" applyProtection="1"/>
    <xf numFmtId="168" fontId="20" fillId="0" borderId="9" xfId="1" applyNumberFormat="1" applyFont="1" applyBorder="1" applyAlignment="1" applyProtection="1">
      <alignment horizontal="right"/>
    </xf>
    <xf numFmtId="168" fontId="20" fillId="0" borderId="9" xfId="13" applyNumberFormat="1" applyFont="1" applyBorder="1" applyAlignment="1" applyProtection="1">
      <alignment horizontal="right"/>
    </xf>
    <xf numFmtId="179" fontId="20" fillId="0" borderId="13" xfId="1" applyNumberFormat="1" applyFont="1" applyFill="1" applyBorder="1" applyAlignment="1" applyProtection="1">
      <alignment horizontal="right"/>
    </xf>
    <xf numFmtId="179" fontId="20" fillId="0" borderId="14" xfId="1" applyNumberFormat="1" applyFont="1" applyFill="1" applyBorder="1" applyAlignment="1" applyProtection="1">
      <alignment horizontal="right"/>
    </xf>
    <xf numFmtId="0" fontId="15" fillId="0" borderId="0" xfId="75" applyFill="1" applyProtection="1"/>
    <xf numFmtId="0" fontId="20" fillId="0" borderId="6" xfId="75" applyFont="1" applyFill="1" applyBorder="1" applyProtection="1"/>
    <xf numFmtId="0" fontId="15" fillId="0" borderId="10" xfId="75" applyFill="1" applyBorder="1" applyProtection="1"/>
    <xf numFmtId="0" fontId="15" fillId="0" borderId="10" xfId="75" applyFont="1" applyFill="1" applyBorder="1" applyProtection="1"/>
    <xf numFmtId="0" fontId="15" fillId="0" borderId="0" xfId="75" applyFont="1" applyFill="1" applyBorder="1" applyProtection="1"/>
    <xf numFmtId="181" fontId="20" fillId="0" borderId="4" xfId="1" applyNumberFormat="1" applyFont="1" applyFill="1" applyBorder="1" applyProtection="1"/>
    <xf numFmtId="181" fontId="26" fillId="0" borderId="0" xfId="1" applyNumberFormat="1" applyFont="1" applyFill="1" applyBorder="1" applyAlignment="1" applyProtection="1">
      <alignment horizontal="center"/>
    </xf>
    <xf numFmtId="181" fontId="20" fillId="0" borderId="14" xfId="1" applyNumberFormat="1" applyFont="1" applyBorder="1" applyProtection="1"/>
    <xf numFmtId="181" fontId="20" fillId="0" borderId="12" xfId="1" applyNumberFormat="1" applyFont="1" applyBorder="1" applyProtection="1"/>
    <xf numFmtId="181" fontId="15" fillId="0" borderId="0" xfId="1" applyNumberFormat="1" applyFill="1" applyBorder="1" applyProtection="1"/>
    <xf numFmtId="181" fontId="15" fillId="0" borderId="9" xfId="1" applyNumberFormat="1" applyBorder="1" applyProtection="1"/>
    <xf numFmtId="181" fontId="20" fillId="0" borderId="13" xfId="1" applyNumberFormat="1" applyFont="1" applyBorder="1" applyAlignment="1" applyProtection="1"/>
    <xf numFmtId="181" fontId="20" fillId="0" borderId="13" xfId="1" applyNumberFormat="1" applyFont="1" applyBorder="1" applyAlignment="1" applyProtection="1">
      <alignment horizontal="right"/>
    </xf>
    <xf numFmtId="181" fontId="20" fillId="0" borderId="12" xfId="1" applyNumberFormat="1" applyFont="1" applyBorder="1" applyAlignment="1" applyProtection="1">
      <alignment horizontal="right"/>
    </xf>
    <xf numFmtId="181" fontId="20" fillId="0" borderId="14" xfId="1" applyNumberFormat="1" applyFont="1" applyBorder="1" applyAlignment="1" applyProtection="1">
      <alignment horizontal="right"/>
    </xf>
    <xf numFmtId="181" fontId="20" fillId="0" borderId="6" xfId="1" applyNumberFormat="1" applyFont="1" applyBorder="1" applyAlignment="1" applyProtection="1">
      <alignment horizontal="right"/>
    </xf>
    <xf numFmtId="181" fontId="20" fillId="0" borderId="1" xfId="1" applyNumberFormat="1" applyFont="1" applyBorder="1" applyAlignment="1" applyProtection="1">
      <alignment horizontal="right"/>
    </xf>
    <xf numFmtId="181" fontId="20" fillId="0" borderId="5" xfId="1" applyNumberFormat="1" applyFont="1" applyBorder="1" applyAlignment="1" applyProtection="1">
      <alignment horizontal="center"/>
    </xf>
    <xf numFmtId="181" fontId="20" fillId="0" borderId="1" xfId="1" applyNumberFormat="1" applyFont="1" applyBorder="1" applyAlignment="1" applyProtection="1">
      <alignment horizontal="center"/>
    </xf>
    <xf numFmtId="181" fontId="20" fillId="0" borderId="0" xfId="1" applyNumberFormat="1" applyFont="1" applyBorder="1" applyAlignment="1" applyProtection="1">
      <alignment horizontal="center"/>
    </xf>
    <xf numFmtId="181" fontId="0" fillId="0" borderId="0" xfId="1" applyNumberFormat="1" applyFont="1" applyFill="1" applyBorder="1" applyAlignment="1" applyProtection="1">
      <alignment horizontal="center"/>
    </xf>
    <xf numFmtId="181" fontId="0" fillId="0" borderId="9" xfId="1" applyNumberFormat="1" applyFont="1" applyBorder="1" applyAlignment="1" applyProtection="1">
      <alignment horizontal="center"/>
    </xf>
    <xf numFmtId="183" fontId="0" fillId="0" borderId="0" xfId="0" applyAlignment="1" applyProtection="1">
      <alignment horizontal="center"/>
    </xf>
    <xf numFmtId="168" fontId="20" fillId="0" borderId="8" xfId="1" applyNumberFormat="1" applyFont="1" applyBorder="1" applyAlignment="1" applyProtection="1">
      <alignment horizontal="right"/>
    </xf>
    <xf numFmtId="37" fontId="20" fillId="0" borderId="8" xfId="0" applyNumberFormat="1" applyFont="1" applyBorder="1" applyAlignment="1" applyProtection="1">
      <alignment horizontal="center"/>
    </xf>
    <xf numFmtId="181" fontId="15" fillId="0" borderId="0" xfId="1" applyNumberFormat="1" applyBorder="1" applyAlignment="1" applyProtection="1"/>
    <xf numFmtId="165" fontId="15" fillId="0" borderId="0" xfId="75" applyNumberFormat="1" applyProtection="1"/>
    <xf numFmtId="183" fontId="16" fillId="0" borderId="9" xfId="0" applyFont="1" applyFill="1" applyBorder="1" applyAlignment="1" applyProtection="1">
      <alignment horizontal="center"/>
      <protection locked="0"/>
    </xf>
    <xf numFmtId="183" fontId="20" fillId="0" borderId="0" xfId="0" applyFont="1" applyFill="1" applyBorder="1" applyAlignment="1" applyProtection="1">
      <alignment horizontal="right"/>
      <protection locked="0"/>
    </xf>
    <xf numFmtId="37" fontId="20" fillId="0" borderId="0" xfId="0" applyNumberFormat="1" applyFont="1" applyFill="1" applyProtection="1">
      <protection locked="0"/>
    </xf>
    <xf numFmtId="168" fontId="20" fillId="0" borderId="3" xfId="1" applyNumberFormat="1" applyFont="1" applyFill="1" applyBorder="1" applyAlignment="1" applyProtection="1">
      <alignment horizontal="right"/>
      <protection locked="0"/>
    </xf>
    <xf numFmtId="183" fontId="15" fillId="0" borderId="0" xfId="0" applyFont="1" applyBorder="1" applyProtection="1">
      <protection locked="0"/>
    </xf>
    <xf numFmtId="183" fontId="15" fillId="0" borderId="0" xfId="0" applyFont="1" applyProtection="1">
      <protection locked="0"/>
    </xf>
    <xf numFmtId="183" fontId="16" fillId="0" borderId="10" xfId="0" applyFont="1" applyFill="1" applyBorder="1" applyAlignment="1" applyProtection="1">
      <alignment horizontal="center"/>
    </xf>
    <xf numFmtId="183" fontId="16" fillId="0" borderId="4" xfId="0" applyFont="1" applyFill="1" applyBorder="1" applyAlignment="1" applyProtection="1">
      <alignment horizontal="center"/>
    </xf>
    <xf numFmtId="168" fontId="20" fillId="0" borderId="12" xfId="1" applyNumberFormat="1" applyFont="1" applyFill="1" applyBorder="1" applyAlignment="1" applyProtection="1">
      <alignment horizontal="right"/>
    </xf>
    <xf numFmtId="167" fontId="20" fillId="0" borderId="14" xfId="16" applyNumberFormat="1" applyFont="1" applyFill="1" applyBorder="1" applyAlignment="1" applyProtection="1"/>
    <xf numFmtId="176" fontId="20" fillId="0" borderId="0" xfId="7" applyNumberFormat="1" applyFont="1" applyFill="1" applyProtection="1"/>
    <xf numFmtId="183" fontId="38" fillId="0" borderId="0" xfId="0" applyFont="1" applyFill="1" applyBorder="1" applyProtection="1"/>
    <xf numFmtId="183" fontId="20" fillId="0" borderId="0" xfId="0" applyFont="1" applyFill="1" applyBorder="1" applyAlignment="1" applyProtection="1">
      <alignment horizontal="right"/>
    </xf>
    <xf numFmtId="170" fontId="0" fillId="0" borderId="0" xfId="7" applyNumberFormat="1" applyFont="1" applyAlignment="1" applyProtection="1"/>
    <xf numFmtId="183" fontId="26" fillId="0" borderId="10" xfId="0" applyFont="1" applyFill="1" applyBorder="1" applyAlignment="1" applyProtection="1">
      <alignment horizontal="center"/>
    </xf>
    <xf numFmtId="183" fontId="20" fillId="0" borderId="0" xfId="0" applyFont="1" applyBorder="1" applyAlignment="1" applyProtection="1"/>
    <xf numFmtId="183" fontId="20" fillId="0" borderId="11" xfId="0" applyFont="1" applyBorder="1" applyAlignment="1" applyProtection="1"/>
    <xf numFmtId="183" fontId="20" fillId="0" borderId="10" xfId="0" applyFont="1" applyBorder="1" applyAlignment="1" applyProtection="1"/>
    <xf numFmtId="181" fontId="20" fillId="0" borderId="0" xfId="1" applyNumberFormat="1" applyFont="1" applyBorder="1" applyAlignment="1" applyProtection="1">
      <alignment horizontal="right"/>
    </xf>
    <xf numFmtId="183" fontId="20" fillId="0" borderId="0" xfId="0" applyFont="1" applyAlignment="1" applyProtection="1">
      <alignment horizontal="right"/>
    </xf>
    <xf numFmtId="168" fontId="20" fillId="0" borderId="10" xfId="0" applyNumberFormat="1" applyFont="1" applyBorder="1" applyAlignment="1" applyProtection="1">
      <alignment horizontal="right"/>
    </xf>
    <xf numFmtId="37" fontId="20" fillId="0" borderId="12" xfId="0" applyNumberFormat="1" applyFont="1" applyBorder="1" applyAlignment="1" applyProtection="1">
      <alignment horizontal="right"/>
    </xf>
    <xf numFmtId="37" fontId="20" fillId="0" borderId="10" xfId="0" applyNumberFormat="1" applyFont="1" applyBorder="1" applyAlignment="1" applyProtection="1">
      <alignment horizontal="right"/>
    </xf>
    <xf numFmtId="181" fontId="20" fillId="0" borderId="5" xfId="1" applyNumberFormat="1" applyFont="1" applyBorder="1" applyAlignment="1" applyProtection="1">
      <alignment horizontal="right"/>
    </xf>
    <xf numFmtId="166" fontId="20" fillId="0" borderId="5" xfId="0" applyNumberFormat="1" applyFont="1" applyBorder="1" applyAlignment="1" applyProtection="1">
      <alignment horizontal="right"/>
    </xf>
    <xf numFmtId="181" fontId="20" fillId="0" borderId="10" xfId="1" applyNumberFormat="1" applyFont="1" applyBorder="1" applyAlignment="1" applyProtection="1">
      <alignment horizontal="right"/>
    </xf>
    <xf numFmtId="165" fontId="20" fillId="0" borderId="10" xfId="1" applyFont="1" applyBorder="1" applyAlignment="1" applyProtection="1">
      <alignment horizontal="right"/>
    </xf>
    <xf numFmtId="37" fontId="20" fillId="0" borderId="15" xfId="75" applyNumberFormat="1" applyFont="1" applyBorder="1" applyProtection="1"/>
    <xf numFmtId="168" fontId="20" fillId="0" borderId="0" xfId="75" applyNumberFormat="1" applyFont="1" applyBorder="1" applyAlignment="1" applyProtection="1">
      <alignment horizontal="center"/>
    </xf>
    <xf numFmtId="183" fontId="20" fillId="0" borderId="0" xfId="0" applyFont="1" applyFill="1" applyAlignment="1" applyProtection="1">
      <alignment horizontal="right"/>
    </xf>
    <xf numFmtId="37" fontId="20" fillId="0" borderId="0" xfId="0" applyNumberFormat="1" applyFont="1" applyBorder="1" applyAlignment="1" applyProtection="1">
      <alignment horizontal="right"/>
    </xf>
    <xf numFmtId="167" fontId="20" fillId="0" borderId="0" xfId="7" applyNumberFormat="1" applyFont="1" applyProtection="1"/>
    <xf numFmtId="37" fontId="20" fillId="0" borderId="0" xfId="0" applyNumberFormat="1" applyFont="1" applyFill="1" applyProtection="1"/>
    <xf numFmtId="181" fontId="20" fillId="0" borderId="0" xfId="1" applyNumberFormat="1" applyFont="1" applyFill="1" applyAlignment="1" applyProtection="1">
      <alignment horizontal="right"/>
    </xf>
    <xf numFmtId="181" fontId="20" fillId="0" borderId="0" xfId="1" applyNumberFormat="1" applyFont="1" applyAlignment="1" applyProtection="1">
      <alignment horizontal="right"/>
    </xf>
    <xf numFmtId="168" fontId="20" fillId="0" borderId="3" xfId="1" applyNumberFormat="1" applyFont="1" applyFill="1" applyBorder="1" applyAlignment="1" applyProtection="1">
      <alignment horizontal="right"/>
    </xf>
    <xf numFmtId="37" fontId="20" fillId="0" borderId="2" xfId="0" applyNumberFormat="1" applyFont="1" applyBorder="1" applyAlignment="1" applyProtection="1"/>
    <xf numFmtId="168" fontId="20" fillId="0" borderId="7" xfId="0" applyNumberFormat="1" applyFont="1" applyFill="1" applyBorder="1" applyProtection="1"/>
    <xf numFmtId="37" fontId="20" fillId="0" borderId="10" xfId="0" applyNumberFormat="1" applyFont="1" applyBorder="1" applyAlignment="1" applyProtection="1"/>
    <xf numFmtId="193" fontId="20" fillId="0" borderId="11" xfId="75" applyNumberFormat="1" applyFont="1" applyFill="1" applyBorder="1" applyAlignment="1" applyProtection="1">
      <alignment horizontal="right"/>
    </xf>
    <xf numFmtId="0" fontId="15" fillId="0" borderId="10" xfId="75" applyFont="1" applyBorder="1" applyProtection="1"/>
    <xf numFmtId="193" fontId="20" fillId="0" borderId="1" xfId="75" applyNumberFormat="1" applyFont="1" applyFill="1" applyBorder="1" applyAlignment="1" applyProtection="1">
      <alignment horizontal="right"/>
    </xf>
    <xf numFmtId="168" fontId="20" fillId="0" borderId="0" xfId="0" applyNumberFormat="1" applyFont="1" applyFill="1" applyBorder="1" applyAlignment="1" applyProtection="1"/>
    <xf numFmtId="167" fontId="20" fillId="0" borderId="0" xfId="0" applyNumberFormat="1" applyFont="1" applyFill="1" applyBorder="1" applyAlignment="1" applyProtection="1"/>
    <xf numFmtId="37" fontId="20" fillId="0" borderId="0" xfId="0" applyNumberFormat="1" applyFont="1" applyBorder="1" applyAlignment="1" applyProtection="1"/>
    <xf numFmtId="183" fontId="15" fillId="0" borderId="0" xfId="0" applyFont="1" applyBorder="1" applyProtection="1"/>
    <xf numFmtId="168" fontId="20" fillId="0" borderId="4" xfId="1" applyNumberFormat="1" applyFont="1" applyFill="1" applyBorder="1" applyAlignment="1" applyProtection="1">
      <alignment horizontal="right"/>
    </xf>
    <xf numFmtId="168" fontId="20" fillId="0" borderId="2" xfId="1" applyNumberFormat="1" applyFont="1" applyFill="1" applyBorder="1" applyAlignment="1" applyProtection="1">
      <alignment horizontal="right"/>
    </xf>
    <xf numFmtId="181" fontId="20" fillId="0" borderId="12" xfId="1" applyNumberFormat="1" applyFont="1" applyBorder="1" applyAlignment="1" applyProtection="1"/>
    <xf numFmtId="183" fontId="26" fillId="0" borderId="0" xfId="0" applyFont="1" applyFill="1" applyBorder="1" applyAlignment="1" applyProtection="1">
      <alignment horizontal="right"/>
    </xf>
    <xf numFmtId="168" fontId="20" fillId="0" borderId="0" xfId="0" applyNumberFormat="1" applyFont="1" applyBorder="1" applyAlignment="1" applyProtection="1"/>
    <xf numFmtId="165" fontId="20" fillId="0" borderId="0" xfId="1" applyFont="1" applyBorder="1" applyAlignment="1" applyProtection="1"/>
    <xf numFmtId="183" fontId="20" fillId="0" borderId="0" xfId="0" applyFont="1" applyAlignment="1" applyProtection="1"/>
    <xf numFmtId="181" fontId="0" fillId="0" borderId="0" xfId="1" applyNumberFormat="1" applyFont="1" applyAlignment="1" applyProtection="1"/>
    <xf numFmtId="165" fontId="29" fillId="0" borderId="0" xfId="1" applyFont="1" applyBorder="1" applyProtection="1">
      <protection locked="0"/>
    </xf>
    <xf numFmtId="9" fontId="29" fillId="0" borderId="0" xfId="7" applyFont="1" applyBorder="1" applyProtection="1">
      <protection locked="0"/>
    </xf>
    <xf numFmtId="183" fontId="16"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1" fontId="0" fillId="0" borderId="0" xfId="0" applyNumberFormat="1" applyProtection="1"/>
    <xf numFmtId="183" fontId="0" fillId="0" borderId="11" xfId="0" applyBorder="1" applyProtection="1"/>
    <xf numFmtId="166" fontId="20" fillId="0" borderId="7" xfId="0" applyNumberFormat="1" applyFont="1" applyFill="1" applyBorder="1" applyProtection="1"/>
    <xf numFmtId="166" fontId="20" fillId="0" borderId="2" xfId="0" applyNumberFormat="1" applyFont="1" applyFill="1" applyBorder="1" applyProtection="1"/>
    <xf numFmtId="166" fontId="20" fillId="0" borderId="9" xfId="0" applyNumberFormat="1" applyFont="1" applyFill="1" applyBorder="1" applyProtection="1"/>
    <xf numFmtId="37" fontId="20" fillId="0" borderId="12" xfId="7" applyNumberFormat="1" applyFont="1" applyFill="1" applyBorder="1" applyAlignment="1" applyProtection="1">
      <alignment horizontal="right"/>
    </xf>
    <xf numFmtId="168" fontId="20" fillId="0" borderId="13" xfId="7" applyNumberFormat="1" applyFont="1" applyFill="1" applyBorder="1" applyAlignment="1" applyProtection="1">
      <alignment horizontal="right"/>
    </xf>
    <xf numFmtId="166" fontId="20" fillId="0" borderId="15" xfId="0" applyNumberFormat="1" applyFont="1" applyFill="1" applyBorder="1" applyProtection="1"/>
    <xf numFmtId="181" fontId="20" fillId="0" borderId="8" xfId="1" applyNumberFormat="1" applyFont="1" applyBorder="1" applyAlignment="1" applyProtection="1"/>
    <xf numFmtId="167" fontId="20" fillId="0" borderId="13" xfId="7" applyNumberFormat="1" applyFont="1" applyFill="1" applyBorder="1" applyAlignment="1" applyProtection="1">
      <alignment horizontal="right"/>
    </xf>
    <xf numFmtId="166" fontId="20" fillId="0" borderId="18" xfId="0" applyNumberFormat="1" applyFont="1" applyFill="1" applyBorder="1" applyProtection="1"/>
    <xf numFmtId="183" fontId="20" fillId="0" borderId="9" xfId="0" applyFont="1" applyFill="1" applyBorder="1" applyAlignment="1" applyProtection="1">
      <alignment horizontal="center"/>
    </xf>
    <xf numFmtId="37" fontId="20" fillId="0" borderId="7" xfId="1" applyNumberFormat="1" applyFont="1" applyFill="1" applyBorder="1" applyAlignment="1" applyProtection="1">
      <alignment horizontal="center"/>
    </xf>
    <xf numFmtId="37" fontId="20" fillId="0" borderId="18" xfId="1" applyNumberFormat="1" applyFont="1" applyFill="1" applyBorder="1" applyAlignment="1" applyProtection="1">
      <alignment horizontal="center"/>
    </xf>
    <xf numFmtId="167" fontId="20" fillId="0" borderId="0" xfId="7" applyNumberFormat="1" applyFont="1" applyFill="1" applyAlignment="1" applyProtection="1">
      <alignment horizontal="right"/>
    </xf>
    <xf numFmtId="168" fontId="20" fillId="0" borderId="0" xfId="1" applyNumberFormat="1" applyFont="1" applyBorder="1" applyProtection="1"/>
    <xf numFmtId="10" fontId="101" fillId="0" borderId="0" xfId="1" applyNumberFormat="1" applyFont="1" applyBorder="1" applyAlignment="1" applyProtection="1">
      <alignment horizontal="right" vertical="center" wrapText="1"/>
    </xf>
    <xf numFmtId="181" fontId="101" fillId="0" borderId="0" xfId="1" applyNumberFormat="1" applyFont="1" applyBorder="1" applyAlignment="1" applyProtection="1">
      <alignment horizontal="right" vertical="center" wrapText="1"/>
    </xf>
    <xf numFmtId="167" fontId="0" fillId="0" borderId="0" xfId="0" applyNumberFormat="1" applyFill="1" applyBorder="1" applyProtection="1"/>
    <xf numFmtId="168" fontId="20" fillId="0" borderId="43" xfId="1" applyNumberFormat="1" applyFont="1" applyFill="1" applyBorder="1" applyProtection="1"/>
    <xf numFmtId="167" fontId="20" fillId="0" borderId="31" xfId="7" applyNumberFormat="1" applyFont="1" applyFill="1" applyBorder="1" applyAlignment="1" applyProtection="1">
      <alignment horizontal="right"/>
    </xf>
    <xf numFmtId="183" fontId="38" fillId="0" borderId="0" xfId="0" applyFont="1" applyFill="1" applyProtection="1"/>
    <xf numFmtId="167" fontId="20" fillId="0" borderId="14" xfId="0" applyNumberFormat="1" applyFont="1" applyFill="1" applyBorder="1" applyAlignment="1" applyProtection="1">
      <alignment horizontal="right"/>
    </xf>
    <xf numFmtId="0" fontId="18" fillId="0" borderId="0" xfId="0" applyNumberFormat="1" applyFont="1" applyFill="1" applyBorder="1" applyAlignment="1" applyProtection="1">
      <alignment horizontal="left"/>
    </xf>
    <xf numFmtId="2" fontId="18" fillId="0" borderId="0" xfId="0" applyNumberFormat="1" applyFont="1" applyFill="1" applyBorder="1" applyAlignment="1" applyProtection="1">
      <alignment horizontal="left"/>
    </xf>
    <xf numFmtId="10" fontId="18" fillId="0" borderId="0" xfId="0" applyNumberFormat="1" applyFont="1" applyFill="1" applyBorder="1" applyAlignment="1" applyProtection="1">
      <alignment horizontal="left"/>
    </xf>
    <xf numFmtId="181" fontId="20" fillId="5" borderId="0" xfId="1" applyNumberFormat="1" applyFont="1" applyFill="1" applyBorder="1" applyAlignment="1" applyProtection="1">
      <alignment horizontal="right"/>
    </xf>
    <xf numFmtId="181" fontId="20" fillId="5" borderId="11" xfId="1" applyNumberFormat="1" applyFont="1" applyFill="1" applyBorder="1" applyProtection="1"/>
    <xf numFmtId="181" fontId="20" fillId="5" borderId="9" xfId="1" applyNumberFormat="1" applyFont="1" applyFill="1" applyBorder="1" applyAlignment="1" applyProtection="1">
      <alignment horizontal="right"/>
    </xf>
    <xf numFmtId="181" fontId="20" fillId="5" borderId="13" xfId="7" applyNumberFormat="1" applyFont="1" applyFill="1" applyBorder="1" applyAlignment="1" applyProtection="1">
      <alignment horizontal="right"/>
    </xf>
    <xf numFmtId="181" fontId="20" fillId="5" borderId="14" xfId="1" applyNumberFormat="1" applyFont="1" applyFill="1" applyBorder="1" applyProtection="1"/>
    <xf numFmtId="181" fontId="20" fillId="5" borderId="12" xfId="1" applyNumberFormat="1" applyFont="1" applyFill="1" applyBorder="1" applyAlignment="1" applyProtection="1">
      <alignment horizontal="right"/>
    </xf>
    <xf numFmtId="181" fontId="20" fillId="5" borderId="13" xfId="1" applyNumberFormat="1" applyFont="1" applyFill="1" applyBorder="1" applyAlignment="1" applyProtection="1">
      <alignment horizontal="right"/>
    </xf>
    <xf numFmtId="181" fontId="20" fillId="5" borderId="15" xfId="1" applyNumberFormat="1" applyFont="1" applyFill="1" applyBorder="1" applyAlignment="1" applyProtection="1">
      <alignment horizontal="right"/>
    </xf>
    <xf numFmtId="37" fontId="20" fillId="5" borderId="0" xfId="7" applyNumberFormat="1" applyFont="1" applyFill="1" applyBorder="1" applyAlignment="1" applyProtection="1">
      <alignment horizontal="right"/>
    </xf>
    <xf numFmtId="37" fontId="20" fillId="5" borderId="11" xfId="1" applyNumberFormat="1" applyFont="1" applyFill="1" applyBorder="1" applyProtection="1"/>
    <xf numFmtId="181" fontId="20" fillId="5" borderId="9" xfId="0" applyNumberFormat="1" applyFont="1" applyFill="1" applyBorder="1" applyAlignment="1" applyProtection="1">
      <alignment horizontal="right"/>
    </xf>
    <xf numFmtId="37" fontId="20" fillId="5" borderId="0" xfId="1" applyNumberFormat="1" applyFont="1" applyFill="1" applyBorder="1" applyProtection="1"/>
    <xf numFmtId="37" fontId="20" fillId="5" borderId="6" xfId="7" applyNumberFormat="1" applyFont="1" applyFill="1" applyBorder="1" applyAlignment="1" applyProtection="1">
      <alignment horizontal="right"/>
    </xf>
    <xf numFmtId="37" fontId="20" fillId="5" borderId="1" xfId="1" applyNumberFormat="1" applyFont="1" applyFill="1" applyBorder="1" applyProtection="1"/>
    <xf numFmtId="181" fontId="20" fillId="5" borderId="8" xfId="0" applyNumberFormat="1" applyFont="1" applyFill="1" applyBorder="1" applyAlignment="1" applyProtection="1">
      <alignment horizontal="right"/>
    </xf>
    <xf numFmtId="181" fontId="20" fillId="5" borderId="8" xfId="1" applyNumberFormat="1" applyFont="1" applyFill="1" applyBorder="1" applyAlignment="1" applyProtection="1">
      <alignment horizontal="right"/>
    </xf>
    <xf numFmtId="181" fontId="20" fillId="5" borderId="11" xfId="1" applyNumberFormat="1" applyFont="1" applyFill="1" applyBorder="1" applyAlignment="1" applyProtection="1">
      <alignment horizontal="right"/>
    </xf>
    <xf numFmtId="179" fontId="20" fillId="0" borderId="9" xfId="1" applyNumberFormat="1" applyFont="1" applyFill="1" applyBorder="1" applyAlignment="1" applyProtection="1">
      <alignment horizontal="right"/>
    </xf>
    <xf numFmtId="181" fontId="20" fillId="0" borderId="9" xfId="1" applyNumberFormat="1" applyFont="1" applyBorder="1" applyAlignment="1" applyProtection="1"/>
    <xf numFmtId="181" fontId="20" fillId="0" borderId="13" xfId="7" applyNumberFormat="1" applyFont="1" applyFill="1" applyBorder="1" applyAlignment="1" applyProtection="1">
      <alignment horizontal="right"/>
    </xf>
    <xf numFmtId="181" fontId="20" fillId="5" borderId="14" xfId="1" applyNumberFormat="1" applyFont="1" applyFill="1" applyBorder="1" applyAlignment="1" applyProtection="1">
      <alignment horizontal="right"/>
    </xf>
    <xf numFmtId="181" fontId="20" fillId="5" borderId="15" xfId="1" applyNumberFormat="1" applyFont="1" applyFill="1" applyBorder="1" applyProtection="1"/>
    <xf numFmtId="181" fontId="20" fillId="5" borderId="7" xfId="1" applyNumberFormat="1" applyFont="1" applyFill="1" applyBorder="1" applyAlignment="1" applyProtection="1">
      <alignment horizontal="right"/>
    </xf>
    <xf numFmtId="181" fontId="20" fillId="5" borderId="4" xfId="1" applyNumberFormat="1" applyFont="1" applyFill="1" applyBorder="1" applyAlignment="1" applyProtection="1">
      <alignment horizontal="right"/>
    </xf>
    <xf numFmtId="183" fontId="20" fillId="0" borderId="11" xfId="0" applyFont="1" applyBorder="1" applyAlignment="1" applyProtection="1">
      <alignment horizontal="center"/>
    </xf>
    <xf numFmtId="181" fontId="20" fillId="5" borderId="4" xfId="1" applyNumberFormat="1" applyFont="1" applyFill="1" applyBorder="1" applyAlignment="1" applyProtection="1">
      <alignment horizontal="center"/>
    </xf>
    <xf numFmtId="166" fontId="20" fillId="0" borderId="13" xfId="1" applyNumberFormat="1" applyFont="1" applyFill="1" applyBorder="1" applyAlignment="1" applyProtection="1">
      <alignment horizontal="right"/>
    </xf>
    <xf numFmtId="166" fontId="20" fillId="0" borderId="14" xfId="1" applyNumberFormat="1" applyFont="1" applyFill="1" applyBorder="1" applyAlignment="1" applyProtection="1">
      <alignment horizontal="right"/>
    </xf>
    <xf numFmtId="166" fontId="20" fillId="0" borderId="15" xfId="1" applyNumberFormat="1" applyFont="1" applyFill="1" applyBorder="1" applyAlignment="1" applyProtection="1">
      <alignment horizontal="right"/>
    </xf>
    <xf numFmtId="181" fontId="20" fillId="5" borderId="15" xfId="1" applyNumberFormat="1" applyFont="1" applyFill="1" applyBorder="1" applyAlignment="1" applyProtection="1">
      <alignment horizontal="center"/>
    </xf>
    <xf numFmtId="37" fontId="20" fillId="0" borderId="31" xfId="1" applyNumberFormat="1" applyFont="1" applyFill="1" applyBorder="1" applyAlignment="1" applyProtection="1">
      <alignment horizontal="right"/>
    </xf>
    <xf numFmtId="37" fontId="20" fillId="0" borderId="25" xfId="1" applyNumberFormat="1" applyFont="1" applyFill="1" applyBorder="1" applyAlignment="1" applyProtection="1">
      <alignment horizontal="right"/>
    </xf>
    <xf numFmtId="181" fontId="20" fillId="0" borderId="25" xfId="1" applyNumberFormat="1" applyFont="1" applyFill="1" applyBorder="1" applyAlignment="1" applyProtection="1">
      <alignment horizontal="right"/>
    </xf>
    <xf numFmtId="181" fontId="20" fillId="0" borderId="31" xfId="1" applyNumberFormat="1" applyFont="1" applyFill="1" applyBorder="1" applyAlignment="1" applyProtection="1">
      <alignment horizontal="right"/>
    </xf>
    <xf numFmtId="181" fontId="20" fillId="0" borderId="43" xfId="1" applyNumberFormat="1" applyFont="1" applyFill="1" applyBorder="1" applyAlignment="1" applyProtection="1">
      <alignment horizontal="right"/>
    </xf>
    <xf numFmtId="37" fontId="20" fillId="0" borderId="44" xfId="1" applyNumberFormat="1" applyFont="1" applyFill="1" applyBorder="1" applyAlignment="1" applyProtection="1">
      <alignment horizontal="right"/>
    </xf>
    <xf numFmtId="181" fontId="20" fillId="5" borderId="31" xfId="1" applyNumberFormat="1" applyFont="1" applyFill="1" applyBorder="1" applyAlignment="1" applyProtection="1">
      <alignment horizontal="right"/>
    </xf>
    <xf numFmtId="181" fontId="20" fillId="5" borderId="44" xfId="1" applyNumberFormat="1" applyFont="1" applyFill="1" applyBorder="1" applyAlignment="1" applyProtection="1">
      <alignment horizontal="right"/>
    </xf>
    <xf numFmtId="181" fontId="20" fillId="5" borderId="44" xfId="1" applyNumberFormat="1" applyFont="1" applyFill="1" applyBorder="1" applyAlignment="1" applyProtection="1">
      <alignment horizontal="center"/>
    </xf>
    <xf numFmtId="181" fontId="20" fillId="5" borderId="17" xfId="1" applyNumberFormat="1" applyFont="1" applyFill="1" applyBorder="1" applyAlignment="1" applyProtection="1">
      <alignment horizontal="center"/>
    </xf>
    <xf numFmtId="181" fontId="20" fillId="5" borderId="0" xfId="7" applyNumberFormat="1" applyFont="1" applyFill="1" applyBorder="1" applyProtection="1"/>
    <xf numFmtId="181" fontId="20" fillId="5" borderId="0" xfId="7" applyNumberFormat="1" applyFont="1" applyFill="1" applyBorder="1" applyAlignment="1" applyProtection="1">
      <alignment horizontal="right"/>
    </xf>
    <xf numFmtId="181" fontId="20" fillId="0" borderId="0" xfId="7" applyNumberFormat="1" applyFont="1" applyFill="1" applyBorder="1" applyAlignment="1" applyProtection="1">
      <alignment horizontal="right"/>
    </xf>
    <xf numFmtId="181" fontId="20" fillId="5" borderId="0" xfId="0" applyNumberFormat="1" applyFont="1" applyFill="1" applyBorder="1" applyProtection="1"/>
    <xf numFmtId="181" fontId="20" fillId="5" borderId="0" xfId="1" applyNumberFormat="1" applyFont="1" applyFill="1" applyBorder="1" applyProtection="1"/>
    <xf numFmtId="10" fontId="20" fillId="0" borderId="0" xfId="7" applyNumberFormat="1" applyFont="1" applyBorder="1" applyProtection="1"/>
    <xf numFmtId="181" fontId="20" fillId="5" borderId="11" xfId="0" applyNumberFormat="1" applyFont="1" applyFill="1" applyBorder="1" applyProtection="1"/>
    <xf numFmtId="168" fontId="20" fillId="0" borderId="3" xfId="1" applyNumberFormat="1" applyFont="1" applyFill="1" applyBorder="1" applyProtection="1"/>
    <xf numFmtId="181" fontId="20" fillId="5" borderId="9" xfId="0" applyNumberFormat="1" applyFont="1" applyFill="1" applyBorder="1" applyProtection="1"/>
    <xf numFmtId="181" fontId="20" fillId="5" borderId="6" xfId="0" applyNumberFormat="1" applyFont="1" applyFill="1" applyBorder="1" applyProtection="1"/>
    <xf numFmtId="181" fontId="20" fillId="5" borderId="1" xfId="0" applyNumberFormat="1" applyFont="1" applyFill="1" applyBorder="1" applyProtection="1"/>
    <xf numFmtId="181" fontId="20" fillId="5" borderId="8" xfId="0" applyNumberFormat="1" applyFont="1" applyFill="1" applyBorder="1" applyProtection="1"/>
    <xf numFmtId="181" fontId="20" fillId="5" borderId="2" xfId="1" applyNumberFormat="1" applyFont="1" applyFill="1" applyBorder="1" applyProtection="1"/>
    <xf numFmtId="166" fontId="20" fillId="0" borderId="0" xfId="0" applyNumberFormat="1" applyFont="1" applyBorder="1" applyProtection="1"/>
    <xf numFmtId="181" fontId="20" fillId="5" borderId="10" xfId="1" applyNumberFormat="1" applyFont="1" applyFill="1" applyBorder="1" applyProtection="1"/>
    <xf numFmtId="181" fontId="20" fillId="5" borderId="5" xfId="1" applyNumberFormat="1" applyFont="1" applyFill="1" applyBorder="1" applyProtection="1"/>
    <xf numFmtId="181" fontId="20" fillId="5" borderId="13" xfId="0" applyNumberFormat="1" applyFont="1" applyFill="1" applyBorder="1" applyProtection="1"/>
    <xf numFmtId="181" fontId="20" fillId="5" borderId="14" xfId="0" applyNumberFormat="1" applyFont="1" applyFill="1" applyBorder="1" applyProtection="1"/>
    <xf numFmtId="181" fontId="20" fillId="5" borderId="12" xfId="0" applyNumberFormat="1" applyFont="1" applyFill="1" applyBorder="1" applyProtection="1"/>
    <xf numFmtId="181" fontId="20" fillId="5" borderId="15" xfId="0" applyNumberFormat="1" applyFont="1" applyFill="1" applyBorder="1" applyProtection="1"/>
    <xf numFmtId="167" fontId="20" fillId="0" borderId="3" xfId="7" applyNumberFormat="1" applyFont="1" applyFill="1" applyBorder="1" applyAlignment="1" applyProtection="1"/>
    <xf numFmtId="190" fontId="0" fillId="0" borderId="0" xfId="1" applyNumberFormat="1" applyFont="1" applyBorder="1" applyProtection="1"/>
    <xf numFmtId="168" fontId="20" fillId="0" borderId="7" xfId="0" applyNumberFormat="1" applyFont="1" applyBorder="1" applyProtection="1"/>
    <xf numFmtId="166" fontId="20" fillId="0" borderId="7" xfId="0" applyNumberFormat="1" applyFont="1" applyBorder="1" applyProtection="1"/>
    <xf numFmtId="166" fontId="20" fillId="0" borderId="11" xfId="0" applyNumberFormat="1" applyFont="1" applyBorder="1" applyProtection="1"/>
    <xf numFmtId="190" fontId="20" fillId="0" borderId="0" xfId="1" applyNumberFormat="1" applyFont="1" applyProtection="1"/>
    <xf numFmtId="167" fontId="20" fillId="0" borderId="0" xfId="0" applyNumberFormat="1" applyFont="1" applyFill="1" applyBorder="1" applyAlignment="1" applyProtection="1">
      <alignment horizontal="right"/>
    </xf>
    <xf numFmtId="37" fontId="26" fillId="0" borderId="9" xfId="1" applyNumberFormat="1" applyFont="1" applyFill="1" applyBorder="1" applyAlignment="1" applyProtection="1">
      <alignment horizontal="right"/>
      <protection locked="0"/>
    </xf>
    <xf numFmtId="37" fontId="26" fillId="0" borderId="19" xfId="1" applyNumberFormat="1" applyFont="1" applyFill="1" applyBorder="1" applyAlignment="1" applyProtection="1">
      <alignment horizontal="right"/>
      <protection locked="0"/>
    </xf>
    <xf numFmtId="37" fontId="20" fillId="0" borderId="9" xfId="1" applyNumberFormat="1" applyFont="1" applyFill="1" applyBorder="1" applyAlignment="1" applyProtection="1">
      <alignment horizontal="left"/>
      <protection locked="0"/>
    </xf>
    <xf numFmtId="183" fontId="22" fillId="0" borderId="0" xfId="0" applyFont="1" applyProtection="1"/>
    <xf numFmtId="181" fontId="26" fillId="0" borderId="16" xfId="1" applyNumberFormat="1" applyFont="1" applyFill="1" applyBorder="1" applyAlignment="1" applyProtection="1">
      <alignment horizontal="right"/>
    </xf>
    <xf numFmtId="167" fontId="26" fillId="0" borderId="17" xfId="7" applyNumberFormat="1" applyFont="1" applyFill="1" applyBorder="1" applyAlignment="1" applyProtection="1">
      <alignment horizontal="right"/>
    </xf>
    <xf numFmtId="9" fontId="20" fillId="0" borderId="0" xfId="7" applyFont="1" applyProtection="1"/>
    <xf numFmtId="183" fontId="27" fillId="0" borderId="9" xfId="0" applyFont="1" applyFill="1" applyBorder="1" applyAlignment="1" applyProtection="1">
      <alignment horizontal="center"/>
    </xf>
    <xf numFmtId="179" fontId="20" fillId="0" borderId="9" xfId="0" applyNumberFormat="1" applyFont="1" applyBorder="1" applyProtection="1"/>
    <xf numFmtId="169" fontId="20" fillId="0" borderId="11" xfId="1" applyNumberFormat="1" applyFont="1" applyFill="1" applyBorder="1" applyProtection="1"/>
    <xf numFmtId="169" fontId="20" fillId="0" borderId="9" xfId="1" applyNumberFormat="1" applyFont="1" applyFill="1" applyBorder="1" applyProtection="1"/>
    <xf numFmtId="169" fontId="20" fillId="0" borderId="6" xfId="1" applyNumberFormat="1" applyFont="1" applyFill="1" applyBorder="1" applyProtection="1"/>
    <xf numFmtId="37" fontId="26" fillId="0" borderId="19" xfId="1" applyNumberFormat="1" applyFont="1" applyFill="1" applyBorder="1" applyAlignment="1" applyProtection="1">
      <alignment horizontal="right"/>
    </xf>
    <xf numFmtId="37" fontId="26" fillId="0" borderId="17" xfId="1" applyNumberFormat="1" applyFont="1" applyFill="1" applyBorder="1" applyAlignment="1" applyProtection="1">
      <alignment horizontal="right"/>
    </xf>
    <xf numFmtId="37" fontId="26" fillId="0" borderId="25" xfId="1" applyNumberFormat="1" applyFont="1" applyFill="1" applyBorder="1" applyAlignment="1" applyProtection="1">
      <alignment horizontal="right"/>
    </xf>
    <xf numFmtId="37" fontId="26" fillId="0" borderId="18" xfId="1" applyNumberFormat="1" applyFont="1" applyFill="1" applyBorder="1" applyAlignment="1" applyProtection="1">
      <alignment horizontal="right"/>
    </xf>
    <xf numFmtId="37" fontId="26" fillId="0" borderId="9" xfId="1" applyNumberFormat="1" applyFont="1" applyFill="1" applyBorder="1" applyAlignment="1" applyProtection="1">
      <alignment horizontal="right"/>
    </xf>
    <xf numFmtId="168" fontId="26" fillId="0" borderId="18" xfId="1" applyNumberFormat="1" applyFont="1" applyFill="1" applyBorder="1" applyAlignment="1" applyProtection="1">
      <alignment horizontal="right"/>
    </xf>
    <xf numFmtId="168" fontId="26" fillId="0" borderId="18" xfId="0" applyNumberFormat="1" applyFont="1" applyBorder="1" applyProtection="1"/>
    <xf numFmtId="183" fontId="29" fillId="0" borderId="0" xfId="0" applyFont="1" applyBorder="1" applyProtection="1"/>
    <xf numFmtId="168" fontId="26" fillId="0" borderId="19" xfId="1" applyNumberFormat="1" applyFont="1" applyFill="1" applyBorder="1" applyAlignment="1" applyProtection="1">
      <alignment horizontal="right"/>
    </xf>
    <xf numFmtId="37" fontId="0" fillId="0" borderId="0" xfId="0" applyNumberFormat="1" applyFill="1" applyBorder="1" applyProtection="1"/>
    <xf numFmtId="2" fontId="20" fillId="0" borderId="0" xfId="0" applyNumberFormat="1" applyFont="1" applyFill="1" applyBorder="1" applyAlignment="1" applyProtection="1">
      <alignment horizontal="right"/>
    </xf>
    <xf numFmtId="37" fontId="0" fillId="0" borderId="0" xfId="0" applyNumberFormat="1" applyFill="1" applyProtection="1"/>
    <xf numFmtId="37" fontId="20" fillId="0" borderId="0" xfId="0" applyNumberFormat="1" applyFont="1" applyProtection="1"/>
    <xf numFmtId="3" fontId="55" fillId="0" borderId="0" xfId="0" applyNumberFormat="1" applyFont="1" applyFill="1" applyAlignment="1" applyProtection="1">
      <alignment horizontal="right"/>
    </xf>
    <xf numFmtId="3" fontId="54" fillId="0" borderId="0" xfId="0" applyNumberFormat="1" applyFont="1" applyFill="1" applyAlignment="1" applyProtection="1">
      <alignment horizontal="right"/>
    </xf>
    <xf numFmtId="3" fontId="0" fillId="0" borderId="0" xfId="0" applyNumberFormat="1" applyFill="1" applyBorder="1" applyProtection="1"/>
    <xf numFmtId="37" fontId="20" fillId="0" borderId="0" xfId="7" applyNumberFormat="1" applyFont="1" applyFill="1" applyBorder="1" applyProtection="1">
      <protection locked="0"/>
    </xf>
    <xf numFmtId="183" fontId="29" fillId="0" borderId="0" xfId="0" applyFont="1" applyFill="1" applyProtection="1">
      <protection locked="0"/>
    </xf>
    <xf numFmtId="37" fontId="20" fillId="0" borderId="0" xfId="0" applyNumberFormat="1" applyFont="1" applyFill="1" applyBorder="1" applyAlignment="1" applyProtection="1">
      <alignment horizontal="right"/>
      <protection locked="0"/>
    </xf>
    <xf numFmtId="183" fontId="17" fillId="0" borderId="0" xfId="0" applyFont="1" applyFill="1" applyAlignment="1" applyProtection="1">
      <alignment horizontal="left"/>
    </xf>
    <xf numFmtId="183" fontId="19" fillId="0" borderId="0" xfId="0" applyFont="1" applyFill="1" applyProtection="1"/>
    <xf numFmtId="183" fontId="22" fillId="0" borderId="0" xfId="0" applyFont="1" applyFill="1" applyProtection="1"/>
    <xf numFmtId="183" fontId="22" fillId="0" borderId="0" xfId="14" applyFont="1" applyFill="1" applyProtection="1"/>
    <xf numFmtId="183" fontId="20" fillId="0" borderId="0" xfId="14" applyFont="1" applyFill="1" applyProtection="1"/>
    <xf numFmtId="183" fontId="20" fillId="0" borderId="5" xfId="0" applyFont="1" applyBorder="1" applyProtection="1"/>
    <xf numFmtId="183" fontId="20" fillId="0" borderId="1" xfId="0" applyFont="1" applyBorder="1" applyProtection="1"/>
    <xf numFmtId="183" fontId="0" fillId="0" borderId="0" xfId="0" applyFill="1" applyAlignment="1" applyProtection="1">
      <alignment horizontal="left"/>
    </xf>
    <xf numFmtId="183" fontId="20" fillId="0" borderId="3" xfId="0" applyFont="1" applyBorder="1" applyProtection="1"/>
    <xf numFmtId="168" fontId="20" fillId="0" borderId="0" xfId="7" applyNumberFormat="1" applyFont="1" applyFill="1" applyBorder="1" applyAlignment="1" applyProtection="1">
      <alignment horizontal="right"/>
    </xf>
    <xf numFmtId="168" fontId="20" fillId="0" borderId="11" xfId="7" applyNumberFormat="1" applyFont="1" applyFill="1" applyBorder="1" applyAlignment="1" applyProtection="1">
      <alignment horizontal="right"/>
    </xf>
    <xf numFmtId="168" fontId="20" fillId="0" borderId="9" xfId="7" applyNumberFormat="1" applyFont="1" applyFill="1" applyBorder="1" applyAlignment="1" applyProtection="1">
      <alignment horizontal="right"/>
    </xf>
    <xf numFmtId="168" fontId="20" fillId="0" borderId="10" xfId="7" applyNumberFormat="1" applyFont="1" applyFill="1" applyBorder="1" applyAlignment="1" applyProtection="1">
      <alignment horizontal="right"/>
    </xf>
    <xf numFmtId="168" fontId="20" fillId="0" borderId="9" xfId="0" applyNumberFormat="1" applyFont="1" applyFill="1" applyBorder="1" applyAlignment="1" applyProtection="1">
      <alignment horizontal="right"/>
    </xf>
    <xf numFmtId="37" fontId="20" fillId="0" borderId="0" xfId="7" applyNumberFormat="1" applyFont="1" applyFill="1" applyBorder="1" applyProtection="1"/>
    <xf numFmtId="168" fontId="20" fillId="0" borderId="0" xfId="7" applyNumberFormat="1" applyFont="1" applyFill="1" applyBorder="1" applyProtection="1"/>
    <xf numFmtId="168" fontId="20" fillId="0" borderId="9" xfId="7" applyNumberFormat="1" applyFont="1" applyFill="1" applyBorder="1" applyProtection="1"/>
    <xf numFmtId="37" fontId="20" fillId="0" borderId="9" xfId="7" applyNumberFormat="1" applyFont="1" applyFill="1" applyBorder="1" applyProtection="1"/>
    <xf numFmtId="37" fontId="20" fillId="0" borderId="10" xfId="0" applyNumberFormat="1" applyFont="1" applyFill="1" applyBorder="1" applyAlignment="1" applyProtection="1">
      <alignment horizontal="right"/>
    </xf>
    <xf numFmtId="37" fontId="20" fillId="0" borderId="11" xfId="7" applyNumberFormat="1" applyFont="1" applyFill="1" applyBorder="1" applyProtection="1"/>
    <xf numFmtId="37" fontId="20" fillId="0" borderId="0" xfId="0" applyNumberFormat="1" applyFont="1" applyFill="1" applyBorder="1" applyAlignment="1" applyProtection="1">
      <alignment horizontal="right"/>
    </xf>
    <xf numFmtId="166" fontId="20" fillId="0" borderId="0" xfId="1" applyNumberFormat="1" applyFont="1" applyFill="1" applyBorder="1" applyProtection="1"/>
    <xf numFmtId="165" fontId="20" fillId="0" borderId="10" xfId="1" applyFont="1" applyFill="1" applyBorder="1" applyProtection="1"/>
    <xf numFmtId="165" fontId="20" fillId="0" borderId="0" xfId="1" applyFont="1" applyFill="1" applyBorder="1" applyAlignment="1" applyProtection="1"/>
    <xf numFmtId="165" fontId="20" fillId="0" borderId="10" xfId="1" applyFont="1" applyFill="1" applyBorder="1" applyAlignment="1" applyProtection="1">
      <alignment horizontal="right"/>
    </xf>
    <xf numFmtId="165" fontId="20" fillId="0" borderId="9" xfId="1" applyFont="1" applyFill="1" applyBorder="1" applyAlignment="1" applyProtection="1">
      <alignment horizontal="right"/>
    </xf>
    <xf numFmtId="170" fontId="20" fillId="0" borderId="1" xfId="0" applyNumberFormat="1" applyFont="1" applyBorder="1" applyProtection="1"/>
    <xf numFmtId="183" fontId="29" fillId="0" borderId="0" xfId="0" applyFont="1" applyProtection="1"/>
    <xf numFmtId="183" fontId="29" fillId="0" borderId="0" xfId="0" applyFont="1" applyFill="1" applyProtection="1"/>
    <xf numFmtId="183" fontId="15" fillId="0" borderId="0" xfId="0" applyFont="1" applyProtection="1"/>
    <xf numFmtId="37" fontId="20" fillId="0" borderId="10" xfId="0" applyNumberFormat="1" applyFont="1" applyFill="1" applyBorder="1" applyAlignment="1" applyProtection="1"/>
    <xf numFmtId="193" fontId="20" fillId="0" borderId="0" xfId="75" applyNumberFormat="1" applyFont="1" applyFill="1" applyBorder="1" applyAlignment="1" applyProtection="1">
      <alignment horizontal="right"/>
    </xf>
    <xf numFmtId="0" fontId="15" fillId="0" borderId="0" xfId="75" applyFont="1" applyBorder="1" applyProtection="1"/>
    <xf numFmtId="190" fontId="20" fillId="0" borderId="0" xfId="1" applyNumberFormat="1" applyFont="1" applyFill="1" applyBorder="1" applyProtection="1"/>
    <xf numFmtId="176" fontId="20" fillId="0" borderId="0" xfId="7" applyNumberFormat="1" applyFont="1" applyFill="1" applyAlignment="1" applyProtection="1">
      <alignment horizontal="right"/>
    </xf>
    <xf numFmtId="169" fontId="117" fillId="0" borderId="0" xfId="0" applyNumberFormat="1" applyFont="1" applyFill="1" applyBorder="1" applyProtection="1"/>
    <xf numFmtId="2" fontId="117" fillId="0" borderId="0" xfId="0" applyNumberFormat="1" applyFont="1" applyFill="1" applyBorder="1" applyProtection="1"/>
    <xf numFmtId="168" fontId="117" fillId="0" borderId="0" xfId="1" applyNumberFormat="1" applyFont="1" applyFill="1" applyBorder="1" applyProtection="1"/>
    <xf numFmtId="168" fontId="117" fillId="0" borderId="0" xfId="1" applyNumberFormat="1" applyFont="1" applyFill="1" applyBorder="1" applyAlignment="1" applyProtection="1">
      <alignment horizontal="right"/>
    </xf>
    <xf numFmtId="167" fontId="117" fillId="0" borderId="0" xfId="0" applyNumberFormat="1" applyFont="1" applyFill="1" applyBorder="1" applyProtection="1"/>
    <xf numFmtId="167" fontId="117" fillId="0" borderId="0" xfId="7" applyNumberFormat="1" applyFont="1" applyFill="1" applyBorder="1" applyProtection="1"/>
    <xf numFmtId="167" fontId="117" fillId="0" borderId="0" xfId="7" applyNumberFormat="1" applyFont="1" applyFill="1" applyBorder="1" applyAlignment="1" applyProtection="1">
      <alignment horizontal="right"/>
    </xf>
    <xf numFmtId="168" fontId="20" fillId="0" borderId="13" xfId="76" applyNumberFormat="1" applyFont="1" applyFill="1" applyBorder="1" applyProtection="1"/>
    <xf numFmtId="165" fontId="20" fillId="0" borderId="0" xfId="1" applyFont="1" applyBorder="1" applyProtection="1"/>
    <xf numFmtId="3" fontId="55" fillId="0" borderId="0" xfId="0" applyNumberFormat="1" applyFont="1" applyAlignment="1" applyProtection="1">
      <alignment horizontal="right"/>
    </xf>
    <xf numFmtId="3" fontId="0" fillId="0" borderId="0" xfId="0" applyNumberFormat="1" applyBorder="1" applyProtection="1"/>
    <xf numFmtId="167" fontId="20" fillId="4" borderId="0" xfId="7" applyNumberFormat="1" applyFont="1" applyFill="1" applyBorder="1" applyProtection="1"/>
    <xf numFmtId="169" fontId="20" fillId="0" borderId="0" xfId="0" applyNumberFormat="1" applyFont="1" applyFill="1" applyBorder="1" applyAlignment="1" applyProtection="1">
      <protection locked="0"/>
    </xf>
    <xf numFmtId="167" fontId="20" fillId="0" borderId="0" xfId="7" applyNumberFormat="1" applyFont="1" applyFill="1" applyBorder="1" applyAlignment="1" applyProtection="1">
      <protection locked="0"/>
    </xf>
    <xf numFmtId="167" fontId="20" fillId="0" borderId="0" xfId="7" applyNumberFormat="1" applyFont="1" applyFill="1" applyBorder="1" applyAlignment="1" applyProtection="1"/>
    <xf numFmtId="172" fontId="20" fillId="0" borderId="0" xfId="0" applyNumberFormat="1" applyFont="1" applyFill="1" applyBorder="1" applyAlignment="1" applyProtection="1"/>
    <xf numFmtId="183" fontId="20" fillId="0" borderId="6" xfId="0" applyFont="1" applyFill="1" applyBorder="1" applyAlignment="1" applyProtection="1">
      <protection locked="0"/>
    </xf>
    <xf numFmtId="165" fontId="20" fillId="0" borderId="0" xfId="1" applyFont="1" applyFill="1" applyBorder="1" applyProtection="1">
      <protection locked="0"/>
    </xf>
    <xf numFmtId="167" fontId="117" fillId="4" borderId="0" xfId="7" applyNumberFormat="1" applyFont="1" applyFill="1" applyBorder="1" applyProtection="1"/>
    <xf numFmtId="165" fontId="25" fillId="0" borderId="10" xfId="1" applyFont="1" applyFill="1" applyBorder="1" applyProtection="1">
      <protection locked="0"/>
    </xf>
    <xf numFmtId="168" fontId="25" fillId="0" borderId="8" xfId="1" applyNumberFormat="1" applyFont="1" applyFill="1" applyBorder="1" applyProtection="1"/>
    <xf numFmtId="37" fontId="20" fillId="0" borderId="9" xfId="7" applyNumberFormat="1" applyFont="1" applyFill="1" applyBorder="1" applyAlignment="1" applyProtection="1">
      <alignment horizontal="right"/>
    </xf>
    <xf numFmtId="37" fontId="20" fillId="0" borderId="8" xfId="7" applyNumberFormat="1" applyFont="1" applyFill="1" applyBorder="1" applyAlignment="1" applyProtection="1">
      <alignment horizontal="right"/>
    </xf>
    <xf numFmtId="166" fontId="20" fillId="0" borderId="15" xfId="13" applyNumberFormat="1" applyFont="1" applyFill="1" applyBorder="1" applyProtection="1"/>
    <xf numFmtId="166" fontId="20" fillId="0" borderId="15" xfId="13" applyNumberFormat="1" applyFont="1" applyFill="1" applyBorder="1" applyAlignment="1" applyProtection="1">
      <alignment horizontal="right"/>
    </xf>
    <xf numFmtId="166" fontId="20" fillId="0" borderId="18" xfId="13" applyNumberFormat="1" applyFont="1" applyFill="1" applyBorder="1" applyAlignment="1" applyProtection="1">
      <alignment horizontal="right"/>
    </xf>
    <xf numFmtId="166" fontId="20" fillId="0" borderId="8" xfId="13" applyNumberFormat="1" applyFont="1" applyFill="1" applyBorder="1" applyProtection="1"/>
    <xf numFmtId="166" fontId="20" fillId="0" borderId="9" xfId="16" applyNumberFormat="1" applyFont="1" applyFill="1" applyBorder="1" applyAlignment="1" applyProtection="1">
      <alignment horizontal="right"/>
    </xf>
    <xf numFmtId="168" fontId="20" fillId="0" borderId="9" xfId="16" applyNumberFormat="1" applyFont="1" applyFill="1" applyBorder="1" applyAlignment="1" applyProtection="1">
      <alignment horizontal="right"/>
    </xf>
    <xf numFmtId="37" fontId="20" fillId="0" borderId="9" xfId="16" applyNumberFormat="1" applyFont="1" applyFill="1" applyBorder="1" applyAlignment="1" applyProtection="1">
      <alignment horizontal="right"/>
    </xf>
    <xf numFmtId="37" fontId="20" fillId="0" borderId="15" xfId="13" applyNumberFormat="1" applyFont="1" applyFill="1" applyBorder="1" applyProtection="1"/>
    <xf numFmtId="165" fontId="20" fillId="0" borderId="0" xfId="13" applyFont="1" applyBorder="1" applyProtection="1"/>
    <xf numFmtId="37" fontId="20" fillId="0" borderId="7" xfId="75" applyNumberFormat="1" applyFont="1" applyBorder="1" applyProtection="1"/>
    <xf numFmtId="168" fontId="20" fillId="0" borderId="15" xfId="1" applyNumberFormat="1" applyFont="1" applyFill="1" applyBorder="1" applyAlignment="1" applyProtection="1">
      <alignment horizontal="right"/>
    </xf>
    <xf numFmtId="37" fontId="20" fillId="0" borderId="3" xfId="0" applyNumberFormat="1" applyFont="1" applyBorder="1" applyAlignment="1" applyProtection="1"/>
    <xf numFmtId="183" fontId="20" fillId="0" borderId="10" xfId="0" applyFont="1" applyBorder="1" applyAlignment="1" applyProtection="1">
      <alignment horizontal="center"/>
    </xf>
    <xf numFmtId="168" fontId="20" fillId="0" borderId="12" xfId="7" applyNumberFormat="1" applyFont="1" applyFill="1" applyBorder="1" applyAlignment="1" applyProtection="1">
      <alignment horizontal="right"/>
    </xf>
    <xf numFmtId="168" fontId="20" fillId="0" borderId="16" xfId="1" applyNumberFormat="1" applyFont="1" applyFill="1" applyBorder="1" applyAlignment="1" applyProtection="1">
      <alignment horizontal="right"/>
    </xf>
    <xf numFmtId="181" fontId="20" fillId="0" borderId="15" xfId="1" applyNumberFormat="1" applyFont="1" applyBorder="1" applyAlignment="1" applyProtection="1"/>
    <xf numFmtId="37" fontId="20" fillId="0" borderId="15" xfId="7" applyNumberFormat="1" applyFont="1" applyFill="1" applyBorder="1" applyAlignment="1" applyProtection="1">
      <alignment horizontal="right"/>
    </xf>
    <xf numFmtId="2" fontId="0" fillId="0" borderId="0" xfId="0" applyNumberFormat="1" applyFill="1" applyProtection="1"/>
    <xf numFmtId="2" fontId="25" fillId="0" borderId="0" xfId="0" applyNumberFormat="1" applyFont="1" applyFill="1" applyBorder="1" applyProtection="1">
      <protection locked="0"/>
    </xf>
    <xf numFmtId="1" fontId="20" fillId="0" borderId="0" xfId="0" applyNumberFormat="1" applyFont="1" applyBorder="1" applyProtection="1"/>
    <xf numFmtId="170" fontId="0" fillId="0" borderId="0" xfId="7" applyNumberFormat="1" applyFont="1" applyFill="1" applyProtection="1"/>
    <xf numFmtId="37" fontId="0" fillId="0" borderId="0" xfId="7" applyNumberFormat="1" applyFont="1" applyFill="1" applyProtection="1"/>
    <xf numFmtId="181" fontId="101" fillId="0" borderId="0" xfId="1" applyNumberFormat="1" applyFont="1" applyFill="1" applyAlignment="1" applyProtection="1">
      <alignment horizontal="right" vertical="center" wrapText="1"/>
    </xf>
    <xf numFmtId="9" fontId="0" fillId="0" borderId="0" xfId="7" applyFont="1" applyFill="1" applyProtection="1"/>
    <xf numFmtId="0" fontId="0" fillId="0" borderId="0" xfId="0" applyNumberFormat="1" applyFill="1" applyProtection="1">
      <protection locked="0"/>
    </xf>
    <xf numFmtId="37" fontId="15" fillId="0" borderId="0" xfId="75" applyNumberFormat="1" applyProtection="1">
      <protection locked="0"/>
    </xf>
    <xf numFmtId="10" fontId="15" fillId="0" borderId="0" xfId="75" applyNumberFormat="1" applyProtection="1">
      <protection locked="0"/>
    </xf>
    <xf numFmtId="181" fontId="29" fillId="0" borderId="0" xfId="75" applyNumberFormat="1" applyFont="1" applyBorder="1" applyProtection="1">
      <protection locked="0"/>
    </xf>
    <xf numFmtId="165" fontId="16" fillId="0" borderId="10" xfId="1" applyFont="1" applyFill="1" applyBorder="1" applyAlignment="1" applyProtection="1">
      <alignment horizontal="right"/>
    </xf>
    <xf numFmtId="183" fontId="26" fillId="0" borderId="5" xfId="0" applyFont="1" applyFill="1" applyBorder="1" applyAlignment="1" applyProtection="1">
      <alignment horizontal="center"/>
      <protection locked="0"/>
    </xf>
    <xf numFmtId="183" fontId="16" fillId="0" borderId="0" xfId="0" applyFont="1" applyFill="1" applyBorder="1" applyAlignment="1" applyProtection="1">
      <alignment horizontal="center"/>
    </xf>
    <xf numFmtId="183" fontId="27" fillId="0" borderId="11" xfId="0" applyFont="1" applyFill="1" applyBorder="1" applyAlignment="1" applyProtection="1">
      <alignment horizontal="center"/>
    </xf>
    <xf numFmtId="183" fontId="26" fillId="0" borderId="2" xfId="0" applyFont="1" applyFill="1" applyBorder="1" applyAlignment="1" applyProtection="1">
      <alignment horizontal="center"/>
    </xf>
    <xf numFmtId="183" fontId="26" fillId="0" borderId="4" xfId="0" applyFont="1" applyFill="1" applyBorder="1" applyAlignment="1" applyProtection="1">
      <alignment horizontal="center"/>
    </xf>
    <xf numFmtId="183" fontId="26" fillId="0" borderId="0" xfId="0" applyFont="1" applyAlignment="1" applyProtection="1">
      <alignment wrapText="1"/>
    </xf>
    <xf numFmtId="0" fontId="26" fillId="0" borderId="0" xfId="75" applyFont="1" applyAlignment="1" applyProtection="1">
      <alignment wrapText="1"/>
    </xf>
    <xf numFmtId="183" fontId="27" fillId="0" borderId="10" xfId="0" applyFont="1" applyFill="1" applyBorder="1" applyAlignment="1" applyProtection="1">
      <alignment horizontal="center"/>
    </xf>
    <xf numFmtId="183" fontId="26" fillId="0" borderId="2" xfId="0" applyFont="1" applyBorder="1" applyAlignment="1" applyProtection="1">
      <alignment horizontal="center"/>
    </xf>
    <xf numFmtId="183" fontId="26" fillId="0" borderId="7" xfId="0" applyFont="1" applyBorder="1" applyAlignment="1" applyProtection="1">
      <alignment horizontal="center"/>
    </xf>
    <xf numFmtId="183" fontId="0" fillId="0" borderId="4" xfId="0" applyBorder="1" applyProtection="1">
      <protection locked="0"/>
    </xf>
    <xf numFmtId="183" fontId="26" fillId="0" borderId="1" xfId="0" applyFont="1" applyFill="1" applyBorder="1" applyAlignment="1" applyProtection="1">
      <alignment horizontal="center"/>
      <protection locked="0"/>
    </xf>
    <xf numFmtId="183" fontId="19" fillId="0" borderId="4" xfId="0" applyFont="1" applyFill="1" applyBorder="1" applyAlignment="1" applyProtection="1">
      <alignment horizontal="center"/>
      <protection locked="0"/>
    </xf>
    <xf numFmtId="37" fontId="20" fillId="0" borderId="11" xfId="1" applyNumberFormat="1" applyFont="1" applyFill="1" applyBorder="1" applyProtection="1">
      <protection locked="0"/>
    </xf>
    <xf numFmtId="168" fontId="20" fillId="0" borderId="11" xfId="0" applyNumberFormat="1" applyFont="1" applyBorder="1" applyProtection="1">
      <protection locked="0"/>
    </xf>
    <xf numFmtId="37" fontId="20" fillId="0" borderId="14" xfId="7" applyNumberFormat="1" applyFont="1" applyFill="1" applyBorder="1" applyAlignment="1" applyProtection="1">
      <alignment horizontal="right"/>
      <protection locked="0"/>
    </xf>
    <xf numFmtId="37" fontId="20" fillId="0" borderId="14" xfId="1" applyNumberFormat="1" applyFont="1" applyFill="1" applyBorder="1" applyProtection="1">
      <protection locked="0"/>
    </xf>
    <xf numFmtId="181" fontId="20" fillId="0" borderId="11" xfId="1" applyNumberFormat="1" applyFont="1" applyFill="1" applyBorder="1" applyProtection="1">
      <protection locked="0"/>
    </xf>
    <xf numFmtId="181" fontId="20" fillId="0" borderId="11" xfId="1" applyNumberFormat="1" applyFont="1" applyBorder="1" applyProtection="1">
      <protection locked="0"/>
    </xf>
    <xf numFmtId="181" fontId="20" fillId="0" borderId="1" xfId="1" applyNumberFormat="1" applyFont="1" applyFill="1" applyBorder="1" applyProtection="1">
      <protection locked="0"/>
    </xf>
    <xf numFmtId="168" fontId="20" fillId="0" borderId="11" xfId="0" applyNumberFormat="1" applyFont="1" applyFill="1" applyBorder="1" applyProtection="1">
      <protection locked="0"/>
    </xf>
    <xf numFmtId="37" fontId="20" fillId="0" borderId="11" xfId="0" applyNumberFormat="1" applyFont="1" applyFill="1" applyBorder="1" applyProtection="1">
      <protection locked="0"/>
    </xf>
    <xf numFmtId="181" fontId="20" fillId="0" borderId="14" xfId="1" applyNumberFormat="1" applyFont="1" applyFill="1" applyBorder="1" applyProtection="1">
      <protection locked="0"/>
    </xf>
    <xf numFmtId="169" fontId="20" fillId="0" borderId="0" xfId="0" applyNumberFormat="1" applyFont="1" applyFill="1" applyBorder="1" applyAlignment="1" applyProtection="1">
      <alignment horizontal="right"/>
      <protection locked="0"/>
    </xf>
    <xf numFmtId="183" fontId="20" fillId="0" borderId="4" xfId="0" applyFont="1" applyFill="1" applyBorder="1" applyProtection="1">
      <protection locked="0"/>
    </xf>
    <xf numFmtId="168" fontId="20" fillId="0" borderId="11" xfId="1" applyNumberFormat="1" applyFont="1" applyFill="1" applyBorder="1" applyProtection="1">
      <protection locked="0"/>
    </xf>
    <xf numFmtId="37" fontId="20" fillId="0" borderId="1" xfId="0" applyNumberFormat="1" applyFont="1" applyFill="1" applyBorder="1" applyProtection="1">
      <protection locked="0"/>
    </xf>
    <xf numFmtId="168" fontId="25" fillId="0" borderId="11" xfId="1" applyNumberFormat="1" applyFont="1" applyFill="1" applyBorder="1" applyProtection="1">
      <protection locked="0"/>
    </xf>
    <xf numFmtId="181" fontId="25" fillId="0" borderId="0" xfId="1" applyNumberFormat="1" applyFont="1" applyFill="1" applyBorder="1" applyProtection="1">
      <protection locked="0"/>
    </xf>
    <xf numFmtId="166" fontId="20" fillId="0" borderId="11" xfId="1" applyNumberFormat="1" applyFont="1" applyFill="1" applyBorder="1" applyProtection="1">
      <protection locked="0"/>
    </xf>
    <xf numFmtId="37" fontId="20" fillId="0" borderId="4" xfId="1" applyNumberFormat="1" applyFont="1" applyFill="1" applyBorder="1" applyProtection="1">
      <protection locked="0"/>
    </xf>
    <xf numFmtId="168" fontId="20" fillId="0" borderId="0" xfId="0" applyNumberFormat="1" applyFont="1" applyFill="1" applyBorder="1" applyAlignment="1" applyProtection="1">
      <alignment horizontal="right"/>
      <protection locked="0"/>
    </xf>
    <xf numFmtId="37" fontId="20" fillId="0" borderId="14" xfId="1" applyNumberFormat="1" applyFont="1" applyFill="1" applyBorder="1" applyAlignment="1" applyProtection="1">
      <alignment horizontal="right"/>
      <protection locked="0"/>
    </xf>
    <xf numFmtId="37" fontId="20" fillId="0" borderId="11" xfId="1" applyNumberFormat="1" applyFont="1" applyFill="1" applyBorder="1" applyAlignment="1" applyProtection="1">
      <alignment horizontal="right"/>
      <protection locked="0"/>
    </xf>
    <xf numFmtId="37" fontId="20" fillId="0" borderId="4" xfId="1" applyNumberFormat="1" applyFont="1" applyFill="1" applyBorder="1" applyAlignment="1" applyProtection="1">
      <alignment horizontal="right"/>
      <protection locked="0"/>
    </xf>
    <xf numFmtId="181" fontId="20" fillId="0" borderId="14" xfId="1" applyNumberFormat="1" applyFont="1" applyFill="1" applyBorder="1" applyAlignment="1" applyProtection="1">
      <alignment horizontal="right"/>
      <protection locked="0"/>
    </xf>
    <xf numFmtId="181" fontId="20" fillId="0" borderId="11" xfId="1" applyNumberFormat="1" applyFont="1" applyFill="1" applyBorder="1" applyAlignment="1" applyProtection="1">
      <alignment horizontal="right"/>
      <protection locked="0"/>
    </xf>
    <xf numFmtId="166" fontId="20" fillId="0" borderId="0" xfId="1" applyNumberFormat="1" applyFont="1" applyFill="1" applyBorder="1" applyAlignment="1" applyProtection="1">
      <alignment horizontal="right"/>
      <protection locked="0"/>
    </xf>
    <xf numFmtId="165" fontId="20" fillId="0" borderId="0" xfId="1" applyFont="1" applyFill="1" applyBorder="1" applyAlignment="1" applyProtection="1">
      <alignment horizontal="right"/>
      <protection locked="0"/>
    </xf>
    <xf numFmtId="37" fontId="20" fillId="0" borderId="1" xfId="1" applyNumberFormat="1" applyFont="1" applyFill="1" applyBorder="1" applyAlignment="1" applyProtection="1">
      <alignment horizontal="right"/>
      <protection locked="0"/>
    </xf>
    <xf numFmtId="181" fontId="20" fillId="0" borderId="1" xfId="1" applyNumberFormat="1" applyFont="1" applyFill="1" applyBorder="1" applyAlignment="1" applyProtection="1">
      <alignment horizontal="right"/>
      <protection locked="0"/>
    </xf>
    <xf numFmtId="181" fontId="20" fillId="0" borderId="17" xfId="1" applyNumberFormat="1" applyFont="1" applyFill="1" applyBorder="1" applyAlignment="1" applyProtection="1">
      <alignment horizontal="right"/>
      <protection locked="0"/>
    </xf>
    <xf numFmtId="167" fontId="20" fillId="0" borderId="0" xfId="7" applyNumberFormat="1" applyFont="1" applyFill="1" applyBorder="1" applyAlignment="1" applyProtection="1">
      <alignment horizontal="center"/>
      <protection locked="0"/>
    </xf>
    <xf numFmtId="183" fontId="0" fillId="0" borderId="4" xfId="0" applyFill="1" applyBorder="1" applyProtection="1">
      <protection locked="0"/>
    </xf>
    <xf numFmtId="37" fontId="20" fillId="0" borderId="11" xfId="0" applyNumberFormat="1" applyFont="1" applyBorder="1" applyProtection="1">
      <protection locked="0"/>
    </xf>
    <xf numFmtId="37" fontId="20" fillId="0" borderId="1" xfId="0" applyNumberFormat="1" applyFont="1" applyBorder="1" applyProtection="1">
      <protection locked="0"/>
    </xf>
    <xf numFmtId="181" fontId="20" fillId="0" borderId="1" xfId="1" applyNumberFormat="1" applyFont="1" applyBorder="1" applyProtection="1">
      <protection locked="0"/>
    </xf>
    <xf numFmtId="37" fontId="20" fillId="0" borderId="6" xfId="1" applyNumberFormat="1" applyFont="1" applyFill="1" applyBorder="1" applyProtection="1">
      <protection locked="0"/>
    </xf>
    <xf numFmtId="37" fontId="20" fillId="0" borderId="14" xfId="0" applyNumberFormat="1" applyFont="1" applyBorder="1" applyProtection="1">
      <protection locked="0"/>
    </xf>
    <xf numFmtId="37" fontId="20" fillId="0" borderId="4" xfId="0" applyNumberFormat="1" applyFont="1" applyBorder="1" applyProtection="1">
      <protection locked="0"/>
    </xf>
    <xf numFmtId="183" fontId="29" fillId="0" borderId="0" xfId="0" applyFont="1" applyAlignment="1" applyProtection="1">
      <alignment horizontal="right"/>
    </xf>
    <xf numFmtId="0" fontId="15" fillId="0" borderId="4" xfId="75" applyBorder="1" applyProtection="1">
      <protection locked="0"/>
    </xf>
    <xf numFmtId="0" fontId="20" fillId="0" borderId="11" xfId="75" applyFont="1" applyBorder="1" applyProtection="1">
      <protection locked="0"/>
    </xf>
    <xf numFmtId="166" fontId="20" fillId="0" borderId="11" xfId="13" applyNumberFormat="1" applyFont="1" applyFill="1" applyBorder="1" applyProtection="1">
      <protection locked="0"/>
    </xf>
    <xf numFmtId="166" fontId="20" fillId="0" borderId="14" xfId="13" applyNumberFormat="1" applyFont="1" applyFill="1" applyBorder="1" applyProtection="1">
      <protection locked="0"/>
    </xf>
    <xf numFmtId="166" fontId="20" fillId="0" borderId="4" xfId="13" applyNumberFormat="1" applyFont="1" applyFill="1" applyBorder="1" applyProtection="1">
      <protection locked="0"/>
    </xf>
    <xf numFmtId="166" fontId="20" fillId="0" borderId="6" xfId="16" applyNumberFormat="1" applyFont="1" applyFill="1" applyBorder="1" applyAlignment="1" applyProtection="1">
      <alignment horizontal="right"/>
      <protection locked="0"/>
    </xf>
    <xf numFmtId="166" fontId="20" fillId="0" borderId="0" xfId="13" applyNumberFormat="1" applyFont="1" applyFill="1" applyBorder="1" applyAlignment="1" applyProtection="1">
      <alignment horizontal="right"/>
      <protection locked="0"/>
    </xf>
    <xf numFmtId="166" fontId="20" fillId="0" borderId="11" xfId="13" applyNumberFormat="1" applyFont="1" applyFill="1" applyBorder="1" applyAlignment="1" applyProtection="1">
      <alignment horizontal="right"/>
      <protection locked="0"/>
    </xf>
    <xf numFmtId="166" fontId="20" fillId="0" borderId="0" xfId="75" applyNumberFormat="1" applyFont="1" applyFill="1" applyBorder="1" applyAlignment="1" applyProtection="1">
      <alignment horizontal="right"/>
      <protection locked="0"/>
    </xf>
    <xf numFmtId="166" fontId="20" fillId="0" borderId="11" xfId="75" applyNumberFormat="1" applyFont="1" applyFill="1" applyBorder="1" applyAlignment="1" applyProtection="1">
      <alignment horizontal="right"/>
      <protection locked="0"/>
    </xf>
    <xf numFmtId="166" fontId="20" fillId="0" borderId="14" xfId="13" applyNumberFormat="1" applyFont="1" applyFill="1" applyBorder="1" applyAlignment="1" applyProtection="1">
      <alignment horizontal="right"/>
      <protection locked="0"/>
    </xf>
    <xf numFmtId="166" fontId="20" fillId="0" borderId="17" xfId="13" applyNumberFormat="1" applyFont="1" applyFill="1" applyBorder="1" applyAlignment="1" applyProtection="1">
      <alignment horizontal="right"/>
      <protection locked="0"/>
    </xf>
    <xf numFmtId="0" fontId="20" fillId="0" borderId="0" xfId="16" applyNumberFormat="1" applyFont="1" applyFill="1" applyBorder="1" applyAlignment="1" applyProtection="1">
      <alignment horizontal="right"/>
      <protection locked="0"/>
    </xf>
    <xf numFmtId="0" fontId="20" fillId="0" borderId="6" xfId="75" applyFont="1" applyBorder="1" applyProtection="1">
      <protection locked="0"/>
    </xf>
    <xf numFmtId="37" fontId="20" fillId="0" borderId="11" xfId="75" applyNumberFormat="1" applyFont="1" applyBorder="1" applyProtection="1">
      <protection locked="0"/>
    </xf>
    <xf numFmtId="37" fontId="20" fillId="0" borderId="11" xfId="13" applyNumberFormat="1" applyFont="1" applyFill="1" applyBorder="1" applyProtection="1">
      <protection locked="0"/>
    </xf>
    <xf numFmtId="37" fontId="20" fillId="0" borderId="4" xfId="13" applyNumberFormat="1" applyFont="1" applyFill="1" applyBorder="1" applyProtection="1">
      <protection locked="0"/>
    </xf>
    <xf numFmtId="37" fontId="20" fillId="0" borderId="6" xfId="75" applyNumberFormat="1" applyFont="1" applyFill="1" applyBorder="1" applyProtection="1">
      <protection locked="0"/>
    </xf>
    <xf numFmtId="37" fontId="20" fillId="0" borderId="1" xfId="75" applyNumberFormat="1" applyFont="1" applyBorder="1" applyProtection="1">
      <protection locked="0"/>
    </xf>
    <xf numFmtId="168" fontId="20" fillId="0" borderId="0" xfId="75" applyNumberFormat="1" applyFont="1" applyFill="1" applyBorder="1" applyProtection="1">
      <protection locked="0"/>
    </xf>
    <xf numFmtId="37" fontId="20" fillId="0" borderId="11" xfId="75" applyNumberFormat="1" applyFont="1" applyFill="1" applyBorder="1" applyProtection="1">
      <protection locked="0"/>
    </xf>
    <xf numFmtId="181" fontId="20" fillId="0" borderId="0" xfId="13" applyNumberFormat="1" applyFont="1" applyFill="1" applyBorder="1" applyProtection="1">
      <protection locked="0"/>
    </xf>
    <xf numFmtId="37" fontId="20" fillId="0" borderId="1" xfId="75" applyNumberFormat="1" applyFont="1" applyFill="1" applyBorder="1" applyProtection="1">
      <protection locked="0"/>
    </xf>
    <xf numFmtId="37" fontId="20" fillId="0" borderId="14" xfId="75" applyNumberFormat="1" applyFont="1" applyBorder="1" applyProtection="1">
      <protection locked="0"/>
    </xf>
    <xf numFmtId="37" fontId="20" fillId="0" borderId="6" xfId="75" applyNumberFormat="1" applyFont="1" applyBorder="1" applyProtection="1">
      <protection locked="0"/>
    </xf>
    <xf numFmtId="168" fontId="20" fillId="0" borderId="13" xfId="76" applyNumberFormat="1" applyFont="1" applyFill="1" applyBorder="1" applyProtection="1">
      <protection locked="0"/>
    </xf>
    <xf numFmtId="168" fontId="20" fillId="0" borderId="0" xfId="75" applyNumberFormat="1" applyFont="1" applyBorder="1" applyAlignment="1" applyProtection="1">
      <alignment horizontal="right"/>
    </xf>
    <xf numFmtId="0" fontId="20" fillId="0" borderId="4" xfId="75" applyFont="1" applyBorder="1" applyProtection="1">
      <protection locked="0"/>
    </xf>
    <xf numFmtId="37" fontId="20" fillId="0" borderId="14" xfId="13" applyNumberFormat="1" applyFont="1" applyFill="1" applyBorder="1" applyProtection="1">
      <protection locked="0"/>
    </xf>
    <xf numFmtId="37" fontId="20" fillId="0" borderId="3" xfId="16" applyNumberFormat="1" applyFont="1" applyFill="1" applyBorder="1" applyAlignment="1" applyProtection="1">
      <alignment horizontal="right"/>
      <protection locked="0"/>
    </xf>
    <xf numFmtId="168" fontId="20" fillId="0" borderId="11" xfId="13" applyNumberFormat="1" applyFont="1" applyFill="1" applyBorder="1" applyAlignment="1" applyProtection="1">
      <alignment horizontal="right"/>
      <protection locked="0"/>
    </xf>
    <xf numFmtId="168" fontId="20" fillId="0" borderId="11" xfId="1" applyNumberFormat="1" applyFont="1" applyFill="1" applyBorder="1" applyAlignment="1" applyProtection="1">
      <alignment horizontal="right"/>
      <protection locked="0"/>
    </xf>
    <xf numFmtId="168" fontId="20" fillId="0" borderId="1" xfId="1" applyNumberFormat="1" applyFont="1" applyFill="1" applyBorder="1" applyAlignment="1" applyProtection="1">
      <alignment horizontal="right"/>
      <protection locked="0"/>
    </xf>
    <xf numFmtId="37" fontId="20" fillId="0" borderId="19" xfId="13" applyNumberFormat="1" applyFont="1" applyFill="1" applyBorder="1" applyAlignment="1" applyProtection="1">
      <alignment horizontal="right"/>
      <protection locked="0"/>
    </xf>
    <xf numFmtId="0" fontId="45" fillId="0" borderId="0" xfId="75" applyFont="1" applyBorder="1" applyProtection="1"/>
    <xf numFmtId="0" fontId="29" fillId="0" borderId="0" xfId="75" applyFont="1" applyProtection="1"/>
    <xf numFmtId="37" fontId="20" fillId="0" borderId="11" xfId="16" applyNumberFormat="1" applyFont="1" applyFill="1" applyBorder="1" applyAlignment="1" applyProtection="1">
      <alignment horizontal="right"/>
      <protection locked="0"/>
    </xf>
    <xf numFmtId="0" fontId="20" fillId="0" borderId="6" xfId="75" applyFont="1" applyFill="1" applyBorder="1" applyProtection="1">
      <protection locked="0"/>
    </xf>
    <xf numFmtId="181" fontId="20" fillId="0" borderId="14" xfId="1" applyNumberFormat="1" applyFont="1" applyBorder="1" applyProtection="1">
      <protection locked="0"/>
    </xf>
    <xf numFmtId="0" fontId="15" fillId="0" borderId="0" xfId="75" applyFont="1" applyFill="1" applyProtection="1"/>
    <xf numFmtId="183" fontId="20" fillId="0" borderId="11" xfId="0" applyFont="1" applyFill="1" applyBorder="1" applyProtection="1">
      <protection locked="0"/>
    </xf>
    <xf numFmtId="168" fontId="20" fillId="0" borderId="4" xfId="1" applyNumberFormat="1" applyFont="1" applyFill="1" applyBorder="1" applyAlignment="1" applyProtection="1">
      <alignment horizontal="right"/>
      <protection locked="0"/>
    </xf>
    <xf numFmtId="0" fontId="15" fillId="0" borderId="0" xfId="75" applyFont="1" applyProtection="1"/>
    <xf numFmtId="168" fontId="20" fillId="0" borderId="1" xfId="0" applyNumberFormat="1" applyFont="1" applyFill="1" applyBorder="1" applyProtection="1">
      <protection locked="0"/>
    </xf>
    <xf numFmtId="37" fontId="20" fillId="0" borderId="31" xfId="1" applyNumberFormat="1" applyFont="1" applyFill="1" applyBorder="1" applyAlignment="1" applyProtection="1">
      <alignment horizontal="right"/>
      <protection locked="0"/>
    </xf>
    <xf numFmtId="39" fontId="20" fillId="0" borderId="0" xfId="0" applyNumberFormat="1" applyFont="1" applyFill="1" applyBorder="1" applyProtection="1">
      <protection locked="0"/>
    </xf>
    <xf numFmtId="169" fontId="20" fillId="0" borderId="11" xfId="1" applyNumberFormat="1" applyFont="1" applyFill="1" applyBorder="1" applyProtection="1">
      <protection locked="0"/>
    </xf>
    <xf numFmtId="37" fontId="26" fillId="0" borderId="17" xfId="1" applyNumberFormat="1" applyFont="1" applyFill="1" applyBorder="1" applyAlignment="1" applyProtection="1">
      <alignment horizontal="right"/>
      <protection locked="0"/>
    </xf>
    <xf numFmtId="37" fontId="20" fillId="0" borderId="11" xfId="7" applyNumberFormat="1" applyFont="1" applyFill="1" applyBorder="1" applyProtection="1">
      <protection locked="0"/>
    </xf>
    <xf numFmtId="183" fontId="0" fillId="0" borderId="11" xfId="0" applyFill="1" applyBorder="1" applyProtection="1">
      <protection locked="0"/>
    </xf>
    <xf numFmtId="165" fontId="16" fillId="0" borderId="0" xfId="1" applyFont="1" applyFill="1" applyBorder="1" applyAlignment="1" applyProtection="1">
      <alignment horizontal="right"/>
      <protection locked="0"/>
    </xf>
    <xf numFmtId="168" fontId="25" fillId="0" borderId="0" xfId="1" applyNumberFormat="1" applyFont="1" applyFill="1" applyBorder="1" applyAlignment="1" applyProtection="1">
      <alignment horizontal="right"/>
      <protection locked="0"/>
    </xf>
    <xf numFmtId="181" fontId="25" fillId="0" borderId="0" xfId="1" applyNumberFormat="1" applyFont="1" applyFill="1" applyBorder="1" applyAlignment="1" applyProtection="1">
      <alignment horizontal="center"/>
      <protection locked="0"/>
    </xf>
    <xf numFmtId="165" fontId="20" fillId="0" borderId="0" xfId="1" applyNumberFormat="1" applyFont="1" applyFill="1" applyBorder="1" applyAlignment="1" applyProtection="1">
      <protection locked="0"/>
    </xf>
    <xf numFmtId="172" fontId="20" fillId="0" borderId="0" xfId="0" applyNumberFormat="1" applyFont="1" applyFill="1" applyBorder="1" applyAlignment="1" applyProtection="1">
      <protection locked="0"/>
    </xf>
    <xf numFmtId="172" fontId="25" fillId="0" borderId="0" xfId="0" applyNumberFormat="1" applyFont="1" applyFill="1" applyBorder="1" applyProtection="1">
      <protection locked="0"/>
    </xf>
    <xf numFmtId="183" fontId="48" fillId="0" borderId="3" xfId="0" applyFont="1" applyFill="1" applyBorder="1" applyAlignment="1" applyProtection="1">
      <alignment horizontal="center"/>
      <protection locked="0"/>
    </xf>
    <xf numFmtId="37" fontId="25" fillId="0" borderId="0" xfId="0" applyNumberFormat="1" applyFont="1" applyFill="1" applyBorder="1" applyProtection="1">
      <protection locked="0"/>
    </xf>
    <xf numFmtId="165" fontId="25" fillId="0" borderId="0" xfId="1" applyNumberFormat="1" applyFont="1" applyFill="1" applyBorder="1" applyProtection="1">
      <protection locked="0"/>
    </xf>
    <xf numFmtId="167" fontId="117" fillId="0" borderId="0" xfId="7" applyNumberFormat="1" applyFont="1" applyFill="1" applyBorder="1" applyAlignment="1" applyProtection="1">
      <alignment horizontal="right"/>
      <protection locked="0"/>
    </xf>
    <xf numFmtId="2" fontId="25" fillId="0" borderId="10" xfId="0" applyNumberFormat="1" applyFont="1" applyFill="1" applyBorder="1" applyProtection="1"/>
    <xf numFmtId="183" fontId="15" fillId="0" borderId="0" xfId="0" applyFont="1" applyFill="1" applyProtection="1"/>
    <xf numFmtId="181" fontId="20" fillId="0" borderId="10" xfId="1" applyNumberFormat="1" applyFont="1" applyFill="1" applyBorder="1" applyAlignment="1" applyProtection="1">
      <alignment horizontal="center"/>
    </xf>
    <xf numFmtId="167" fontId="20" fillId="0" borderId="10" xfId="7" applyNumberFormat="1" applyFont="1" applyFill="1" applyBorder="1" applyAlignment="1" applyProtection="1"/>
    <xf numFmtId="183" fontId="20" fillId="0" borderId="6" xfId="0" applyFont="1" applyFill="1" applyBorder="1" applyAlignment="1" applyProtection="1"/>
    <xf numFmtId="181" fontId="20" fillId="0" borderId="17" xfId="1" applyNumberFormat="1" applyFont="1" applyFill="1" applyBorder="1" applyProtection="1">
      <protection locked="0"/>
    </xf>
    <xf numFmtId="37" fontId="20" fillId="0" borderId="1" xfId="13" applyNumberFormat="1" applyFont="1" applyFill="1" applyBorder="1" applyProtection="1">
      <protection locked="0"/>
    </xf>
    <xf numFmtId="168" fontId="20" fillId="0" borderId="1" xfId="157" applyNumberFormat="1" applyFont="1" applyFill="1" applyBorder="1" applyProtection="1">
      <protection locked="0"/>
    </xf>
    <xf numFmtId="166" fontId="20" fillId="0" borderId="1" xfId="13" applyNumberFormat="1" applyFont="1" applyFill="1" applyBorder="1" applyProtection="1">
      <protection locked="0"/>
    </xf>
    <xf numFmtId="165" fontId="20" fillId="0" borderId="11" xfId="1" applyFont="1" applyFill="1" applyBorder="1" applyProtection="1">
      <protection locked="0"/>
    </xf>
    <xf numFmtId="165" fontId="20" fillId="0" borderId="11" xfId="1" applyFont="1" applyFill="1" applyBorder="1" applyAlignment="1" applyProtection="1">
      <alignment horizontal="right"/>
      <protection locked="0"/>
    </xf>
    <xf numFmtId="37" fontId="20" fillId="0" borderId="1" xfId="1" applyNumberFormat="1" applyFont="1" applyFill="1" applyBorder="1" applyProtection="1">
      <protection locked="0"/>
    </xf>
    <xf numFmtId="170" fontId="18" fillId="0" borderId="0" xfId="7" applyNumberFormat="1" applyFont="1" applyFill="1" applyBorder="1" applyAlignment="1" applyProtection="1">
      <alignment horizontal="left"/>
      <protection locked="0"/>
    </xf>
    <xf numFmtId="166" fontId="20" fillId="0" borderId="9" xfId="1" applyNumberFormat="1" applyFont="1" applyFill="1" applyBorder="1" applyProtection="1"/>
    <xf numFmtId="169" fontId="20" fillId="0" borderId="10" xfId="0" applyNumberFormat="1" applyFont="1" applyFill="1" applyBorder="1" applyAlignment="1" applyProtection="1">
      <alignment horizontal="center"/>
    </xf>
    <xf numFmtId="165" fontId="20" fillId="0" borderId="0" xfId="1" applyNumberFormat="1" applyFont="1" applyFill="1" applyBorder="1" applyAlignment="1" applyProtection="1">
      <alignment horizontal="center"/>
    </xf>
    <xf numFmtId="169" fontId="20" fillId="0" borderId="0" xfId="0" applyNumberFormat="1" applyFont="1" applyFill="1" applyBorder="1" applyAlignment="1" applyProtection="1">
      <alignment horizontal="center"/>
    </xf>
    <xf numFmtId="167" fontId="20" fillId="0" borderId="10" xfId="7" applyNumberFormat="1" applyFont="1" applyFill="1" applyBorder="1" applyAlignment="1" applyProtection="1">
      <alignment horizontal="center"/>
    </xf>
    <xf numFmtId="183" fontId="38" fillId="0" borderId="0" xfId="14" applyFont="1" applyFill="1" applyAlignment="1"/>
    <xf numFmtId="168" fontId="20" fillId="0" borderId="10" xfId="1" applyNumberFormat="1" applyFont="1" applyFill="1" applyBorder="1" applyProtection="1"/>
    <xf numFmtId="167" fontId="20" fillId="0" borderId="0" xfId="7" applyNumberFormat="1" applyFont="1" applyFill="1" applyBorder="1" applyAlignment="1" applyProtection="1">
      <alignment horizontal="right"/>
    </xf>
    <xf numFmtId="167" fontId="20" fillId="0" borderId="11" xfId="7" applyNumberFormat="1" applyFont="1" applyFill="1" applyBorder="1" applyAlignment="1" applyProtection="1">
      <alignment horizontal="right"/>
    </xf>
    <xf numFmtId="165" fontId="20" fillId="0" borderId="10" xfId="1" applyFont="1" applyFill="1" applyBorder="1" applyProtection="1"/>
    <xf numFmtId="39" fontId="20" fillId="0" borderId="10" xfId="1" applyNumberFormat="1" applyFont="1" applyFill="1" applyBorder="1" applyProtection="1"/>
    <xf numFmtId="169" fontId="20" fillId="0" borderId="10" xfId="412" applyNumberFormat="1" applyFont="1" applyFill="1" applyBorder="1" applyAlignment="1" applyProtection="1">
      <alignment horizontal="right"/>
    </xf>
    <xf numFmtId="176" fontId="20" fillId="0" borderId="10" xfId="412" applyNumberFormat="1" applyFont="1" applyFill="1" applyBorder="1" applyAlignment="1" applyProtection="1">
      <alignment horizontal="right"/>
    </xf>
    <xf numFmtId="172" fontId="20" fillId="0" borderId="10" xfId="412" applyNumberFormat="1" applyFont="1" applyFill="1" applyBorder="1" applyAlignment="1" applyProtection="1">
      <alignment horizontal="right"/>
    </xf>
    <xf numFmtId="183" fontId="20" fillId="0" borderId="5" xfId="412" applyFont="1" applyFill="1" applyBorder="1" applyProtection="1"/>
    <xf numFmtId="183" fontId="20" fillId="0" borderId="1" xfId="412" applyFont="1" applyFill="1" applyBorder="1" applyProtection="1"/>
    <xf numFmtId="183" fontId="20" fillId="0" borderId="0" xfId="412" applyFont="1" applyFill="1" applyProtection="1"/>
    <xf numFmtId="183" fontId="20" fillId="0" borderId="2" xfId="412" applyFont="1" applyFill="1" applyBorder="1" applyProtection="1"/>
    <xf numFmtId="183" fontId="20" fillId="0" borderId="4" xfId="412" applyFont="1" applyFill="1" applyBorder="1" applyProtection="1"/>
    <xf numFmtId="168" fontId="20" fillId="0" borderId="10" xfId="412" applyNumberFormat="1" applyFont="1" applyFill="1" applyBorder="1" applyProtection="1"/>
    <xf numFmtId="167" fontId="20" fillId="0" borderId="11" xfId="412" applyNumberFormat="1" applyFont="1" applyFill="1" applyBorder="1" applyProtection="1"/>
    <xf numFmtId="168" fontId="20" fillId="0" borderId="10" xfId="412" applyNumberFormat="1" applyFont="1" applyFill="1" applyBorder="1" applyAlignment="1" applyProtection="1">
      <alignment horizontal="right"/>
    </xf>
    <xf numFmtId="178" fontId="20" fillId="0" borderId="10" xfId="412" applyNumberFormat="1" applyFont="1" applyFill="1" applyBorder="1" applyProtection="1"/>
    <xf numFmtId="168" fontId="20" fillId="0" borderId="0" xfId="1" applyNumberFormat="1" applyFont="1" applyFill="1" applyBorder="1" applyProtection="1">
      <protection locked="0"/>
    </xf>
    <xf numFmtId="183" fontId="20" fillId="0" borderId="0" xfId="412" applyFont="1" applyFill="1" applyBorder="1" applyProtection="1">
      <protection locked="0"/>
    </xf>
    <xf numFmtId="167" fontId="20" fillId="0" borderId="0" xfId="7" applyNumberFormat="1" applyFont="1" applyFill="1" applyBorder="1" applyProtection="1">
      <protection locked="0"/>
    </xf>
    <xf numFmtId="168" fontId="20" fillId="0" borderId="0" xfId="1" applyNumberFormat="1" applyFont="1" applyFill="1" applyBorder="1" applyAlignment="1" applyProtection="1">
      <alignment horizontal="right"/>
      <protection locked="0"/>
    </xf>
    <xf numFmtId="167" fontId="20" fillId="0" borderId="11" xfId="7" applyNumberFormat="1" applyFont="1" applyFill="1" applyBorder="1" applyAlignment="1" applyProtection="1">
      <alignment horizontal="right"/>
      <protection locked="0"/>
    </xf>
    <xf numFmtId="181" fontId="20" fillId="0" borderId="0" xfId="1" applyNumberFormat="1" applyFont="1" applyFill="1" applyBorder="1" applyAlignment="1" applyProtection="1">
      <alignment horizontal="center"/>
      <protection locked="0"/>
    </xf>
    <xf numFmtId="165" fontId="20" fillId="0" borderId="0" xfId="1" applyFont="1" applyFill="1" applyBorder="1" applyProtection="1">
      <protection locked="0"/>
    </xf>
    <xf numFmtId="2" fontId="20" fillId="0" borderId="0" xfId="412" applyNumberFormat="1" applyFont="1" applyFill="1" applyBorder="1" applyProtection="1">
      <protection locked="0"/>
    </xf>
    <xf numFmtId="183" fontId="26" fillId="0" borderId="1" xfId="412" applyFont="1" applyFill="1" applyBorder="1" applyAlignment="1" applyProtection="1">
      <alignment horizontal="center"/>
      <protection locked="0"/>
    </xf>
    <xf numFmtId="37" fontId="20" fillId="0" borderId="11" xfId="412" applyNumberFormat="1" applyFont="1" applyFill="1" applyBorder="1" applyProtection="1">
      <protection locked="0"/>
    </xf>
    <xf numFmtId="183" fontId="20" fillId="0" borderId="4" xfId="412" applyFont="1" applyFill="1" applyBorder="1" applyProtection="1">
      <protection locked="0"/>
    </xf>
    <xf numFmtId="168" fontId="20" fillId="0" borderId="11" xfId="1" applyNumberFormat="1" applyFont="1" applyFill="1" applyBorder="1" applyProtection="1">
      <protection locked="0"/>
    </xf>
    <xf numFmtId="165" fontId="20" fillId="0" borderId="0" xfId="1" applyFont="1" applyFill="1" applyBorder="1" applyAlignment="1" applyProtection="1">
      <alignment horizontal="right"/>
      <protection locked="0"/>
    </xf>
    <xf numFmtId="183" fontId="20" fillId="0" borderId="11" xfId="412" applyFont="1" applyFill="1" applyBorder="1" applyProtection="1">
      <protection locked="0"/>
    </xf>
    <xf numFmtId="167" fontId="20" fillId="0" borderId="11" xfId="7" applyNumberFormat="1" applyFont="1" applyFill="1" applyBorder="1" applyProtection="1">
      <protection locked="0"/>
    </xf>
    <xf numFmtId="172" fontId="20" fillId="0" borderId="11" xfId="412" applyNumberFormat="1" applyFont="1" applyFill="1" applyBorder="1" applyProtection="1">
      <protection locked="0"/>
    </xf>
    <xf numFmtId="183" fontId="20" fillId="0" borderId="1" xfId="412" applyFont="1" applyFill="1" applyBorder="1" applyProtection="1">
      <protection locked="0"/>
    </xf>
    <xf numFmtId="165" fontId="20" fillId="0" borderId="11" xfId="1" applyFont="1" applyFill="1" applyBorder="1" applyProtection="1">
      <protection locked="0"/>
    </xf>
    <xf numFmtId="183" fontId="32" fillId="0" borderId="0" xfId="0" applyFont="1" applyAlignment="1">
      <alignment horizontal="center" wrapText="1"/>
    </xf>
    <xf numFmtId="183" fontId="0" fillId="0" borderId="0" xfId="0" applyAlignment="1">
      <alignment wrapText="1"/>
    </xf>
    <xf numFmtId="183" fontId="31" fillId="0" borderId="0" xfId="0" applyFont="1" applyAlignment="1">
      <alignment horizontal="center" wrapText="1"/>
    </xf>
    <xf numFmtId="183" fontId="121" fillId="0" borderId="0" xfId="0" applyFont="1" applyFill="1" applyAlignment="1" applyProtection="1">
      <alignment horizontal="left" wrapText="1"/>
      <protection locked="0"/>
    </xf>
    <xf numFmtId="183" fontId="15" fillId="0" borderId="0" xfId="0" applyFont="1" applyFill="1" applyAlignment="1" applyProtection="1">
      <alignment horizontal="left" vertical="top" wrapText="1"/>
      <protection locked="0"/>
    </xf>
    <xf numFmtId="183" fontId="36" fillId="0" borderId="0" xfId="0" applyFont="1" applyFill="1" applyAlignment="1" applyProtection="1">
      <alignment horizontal="left" vertical="top" wrapText="1"/>
      <protection locked="0"/>
    </xf>
    <xf numFmtId="183" fontId="0" fillId="0" borderId="0" xfId="0" applyFill="1" applyAlignment="1" applyProtection="1">
      <alignment horizontal="left" vertical="top" wrapText="1"/>
      <protection locked="0"/>
    </xf>
    <xf numFmtId="183" fontId="15" fillId="0" borderId="0" xfId="0" applyFont="1" applyFill="1" applyAlignment="1">
      <alignment horizontal="left" wrapText="1"/>
    </xf>
    <xf numFmtId="183" fontId="36" fillId="0" borderId="0" xfId="0" applyFont="1" applyFill="1" applyAlignment="1">
      <alignment horizontal="left" wrapText="1"/>
    </xf>
    <xf numFmtId="183" fontId="0" fillId="0" borderId="0" xfId="0" applyFill="1" applyAlignment="1">
      <alignment horizontal="left" wrapText="1"/>
    </xf>
    <xf numFmtId="183" fontId="15" fillId="0" borderId="10" xfId="0" applyFont="1" applyBorder="1" applyAlignment="1">
      <alignment horizontal="left" wrapText="1" indent="2"/>
    </xf>
    <xf numFmtId="183" fontId="0" fillId="0" borderId="0" xfId="0" applyBorder="1" applyAlignment="1">
      <alignment horizontal="left" indent="2"/>
    </xf>
    <xf numFmtId="183" fontId="36" fillId="0" borderId="10" xfId="0" applyFont="1" applyBorder="1" applyAlignment="1">
      <alignment horizontal="left" wrapText="1" indent="2"/>
    </xf>
    <xf numFmtId="183" fontId="36" fillId="0" borderId="5" xfId="0" applyFont="1" applyBorder="1" applyAlignment="1">
      <alignment horizontal="left" wrapText="1" indent="2"/>
    </xf>
    <xf numFmtId="183" fontId="0" fillId="0" borderId="6" xfId="0" applyBorder="1" applyAlignment="1">
      <alignment horizontal="left" indent="2"/>
    </xf>
    <xf numFmtId="183" fontId="36" fillId="0" borderId="10" xfId="0" applyFont="1" applyBorder="1" applyAlignment="1">
      <alignment horizontal="left" indent="2"/>
    </xf>
    <xf numFmtId="183" fontId="36" fillId="0" borderId="0" xfId="0" applyFont="1" applyBorder="1" applyAlignment="1">
      <alignment horizontal="left" indent="2"/>
    </xf>
    <xf numFmtId="183" fontId="15" fillId="0" borderId="10" xfId="0" applyFont="1" applyBorder="1" applyAlignment="1">
      <alignment horizontal="left" indent="2"/>
    </xf>
    <xf numFmtId="183" fontId="16" fillId="0" borderId="0" xfId="0" applyFont="1" applyFill="1" applyBorder="1" applyAlignment="1" applyProtection="1">
      <alignment horizontal="center"/>
    </xf>
    <xf numFmtId="183" fontId="27" fillId="0" borderId="11" xfId="0" applyFont="1" applyFill="1" applyBorder="1" applyAlignment="1" applyProtection="1">
      <alignment horizontal="center"/>
    </xf>
    <xf numFmtId="183" fontId="26" fillId="0" borderId="2" xfId="0" applyFont="1" applyFill="1" applyBorder="1" applyAlignment="1" applyProtection="1">
      <alignment horizontal="center"/>
    </xf>
    <xf numFmtId="183" fontId="26" fillId="0" borderId="4" xfId="0" applyFont="1" applyFill="1" applyBorder="1" applyAlignment="1" applyProtection="1">
      <alignment horizontal="center"/>
    </xf>
    <xf numFmtId="183" fontId="16" fillId="0" borderId="5" xfId="0" applyFont="1" applyFill="1" applyBorder="1" applyAlignment="1" applyProtection="1">
      <alignment horizontal="center"/>
    </xf>
    <xf numFmtId="183" fontId="27" fillId="0" borderId="1" xfId="0" applyFont="1" applyFill="1" applyBorder="1" applyAlignment="1" applyProtection="1">
      <alignment horizontal="center"/>
    </xf>
    <xf numFmtId="183" fontId="26" fillId="0" borderId="2" xfId="412" applyFont="1" applyFill="1" applyBorder="1" applyAlignment="1" applyProtection="1">
      <alignment horizontal="center"/>
    </xf>
    <xf numFmtId="183" fontId="26" fillId="0" borderId="4" xfId="412" applyFont="1" applyFill="1" applyBorder="1" applyAlignment="1" applyProtection="1">
      <alignment horizontal="center"/>
    </xf>
    <xf numFmtId="183" fontId="16" fillId="0" borderId="5" xfId="412" applyFont="1" applyFill="1" applyBorder="1" applyAlignment="1" applyProtection="1">
      <alignment horizontal="center"/>
    </xf>
    <xf numFmtId="183" fontId="16" fillId="0" borderId="1" xfId="412" applyFont="1" applyFill="1" applyBorder="1" applyAlignment="1" applyProtection="1">
      <alignment horizontal="center"/>
    </xf>
    <xf numFmtId="183" fontId="20" fillId="0" borderId="5" xfId="0" applyFont="1" applyFill="1" applyBorder="1" applyAlignment="1" applyProtection="1">
      <alignment horizontal="center"/>
    </xf>
    <xf numFmtId="183" fontId="20" fillId="0" borderId="1" xfId="0" applyFont="1" applyFill="1" applyBorder="1" applyAlignment="1" applyProtection="1">
      <alignment horizontal="center"/>
    </xf>
    <xf numFmtId="183" fontId="26" fillId="0" borderId="0" xfId="0" applyFont="1" applyAlignment="1" applyProtection="1">
      <alignment wrapText="1"/>
    </xf>
    <xf numFmtId="183" fontId="0" fillId="0" borderId="0" xfId="0" applyBorder="1" applyAlignment="1" applyProtection="1">
      <alignment wrapText="1"/>
    </xf>
    <xf numFmtId="0" fontId="26" fillId="0" borderId="2" xfId="158" applyFont="1" applyFill="1" applyBorder="1" applyAlignment="1">
      <alignment horizontal="center"/>
    </xf>
    <xf numFmtId="0" fontId="26" fillId="0" borderId="4" xfId="158" applyFont="1" applyFill="1" applyBorder="1" applyAlignment="1">
      <alignment horizontal="center"/>
    </xf>
    <xf numFmtId="0" fontId="16" fillId="0" borderId="5" xfId="75" applyFont="1" applyFill="1" applyBorder="1" applyAlignment="1">
      <alignment horizontal="center"/>
    </xf>
    <xf numFmtId="0" fontId="16" fillId="0" borderId="1" xfId="75" applyFont="1" applyFill="1" applyBorder="1" applyAlignment="1">
      <alignment horizontal="center"/>
    </xf>
    <xf numFmtId="183" fontId="16" fillId="0" borderId="0" xfId="0" applyFont="1" applyFill="1" applyBorder="1" applyAlignment="1">
      <alignment horizontal="center"/>
    </xf>
    <xf numFmtId="183" fontId="16" fillId="0" borderId="11" xfId="0" applyFont="1" applyFill="1" applyBorder="1" applyAlignment="1">
      <alignment horizontal="center"/>
    </xf>
    <xf numFmtId="0" fontId="26" fillId="0" borderId="0" xfId="75" applyFont="1" applyAlignment="1">
      <alignment wrapText="1"/>
    </xf>
    <xf numFmtId="0" fontId="15" fillId="0" borderId="0" xfId="75" applyBorder="1" applyAlignment="1">
      <alignment wrapText="1"/>
    </xf>
    <xf numFmtId="0" fontId="15" fillId="0" borderId="0" xfId="75" applyAlignment="1">
      <alignment wrapText="1"/>
    </xf>
    <xf numFmtId="0" fontId="26" fillId="0" borderId="2" xfId="76" applyFont="1" applyFill="1" applyBorder="1" applyAlignment="1" applyProtection="1">
      <alignment horizontal="center"/>
    </xf>
    <xf numFmtId="0" fontId="26" fillId="0" borderId="4" xfId="76" applyFont="1" applyFill="1" applyBorder="1" applyAlignment="1" applyProtection="1">
      <alignment horizontal="center"/>
    </xf>
    <xf numFmtId="0" fontId="16" fillId="0" borderId="5" xfId="75" applyFont="1" applyFill="1" applyBorder="1" applyAlignment="1" applyProtection="1">
      <alignment horizontal="center"/>
    </xf>
    <xf numFmtId="0" fontId="16" fillId="0" borderId="1" xfId="75" applyFont="1" applyFill="1" applyBorder="1" applyAlignment="1" applyProtection="1">
      <alignment horizontal="center"/>
    </xf>
    <xf numFmtId="0" fontId="26" fillId="0" borderId="0" xfId="75" applyFont="1" applyAlignment="1" applyProtection="1">
      <alignment wrapText="1"/>
    </xf>
    <xf numFmtId="0" fontId="15" fillId="0" borderId="0" xfId="75" applyBorder="1" applyAlignment="1" applyProtection="1">
      <alignment wrapText="1"/>
    </xf>
    <xf numFmtId="0" fontId="15" fillId="0" borderId="0" xfId="75" applyAlignment="1" applyProtection="1">
      <alignment wrapText="1"/>
    </xf>
    <xf numFmtId="0" fontId="26" fillId="0" borderId="2" xfId="157" applyFont="1" applyFill="1" applyBorder="1" applyAlignment="1" applyProtection="1">
      <alignment horizontal="center"/>
    </xf>
    <xf numFmtId="0" fontId="26" fillId="0" borderId="4" xfId="157" applyFont="1" applyFill="1" applyBorder="1" applyAlignment="1" applyProtection="1">
      <alignment horizontal="center"/>
    </xf>
    <xf numFmtId="183" fontId="16" fillId="0" borderId="6" xfId="0" applyFont="1" applyFill="1" applyBorder="1" applyAlignment="1" applyProtection="1">
      <alignment horizontal="center"/>
    </xf>
    <xf numFmtId="0" fontId="26" fillId="0" borderId="2" xfId="156" applyFont="1" applyFill="1" applyBorder="1" applyAlignment="1" applyProtection="1">
      <alignment horizontal="center"/>
    </xf>
    <xf numFmtId="0" fontId="26" fillId="0" borderId="4" xfId="156" applyFont="1" applyFill="1" applyBorder="1" applyAlignment="1" applyProtection="1">
      <alignment horizontal="center"/>
    </xf>
    <xf numFmtId="0" fontId="20" fillId="0" borderId="5" xfId="75" applyFont="1" applyFill="1" applyBorder="1" applyAlignment="1" applyProtection="1">
      <alignment horizontal="center"/>
    </xf>
    <xf numFmtId="0" fontId="20" fillId="0" borderId="1" xfId="75" applyFont="1" applyFill="1" applyBorder="1" applyAlignment="1" applyProtection="1">
      <alignment horizontal="center"/>
    </xf>
    <xf numFmtId="183" fontId="16" fillId="0" borderId="1" xfId="0" applyFont="1" applyFill="1" applyBorder="1" applyAlignment="1" applyProtection="1">
      <alignment horizontal="center"/>
    </xf>
    <xf numFmtId="183" fontId="26" fillId="0" borderId="0" xfId="0" applyFont="1" applyAlignment="1">
      <alignment wrapText="1"/>
    </xf>
    <xf numFmtId="183" fontId="0" fillId="0" borderId="0" xfId="0" applyBorder="1" applyAlignment="1">
      <alignment wrapText="1"/>
    </xf>
    <xf numFmtId="183" fontId="26" fillId="0" borderId="2" xfId="0" applyFont="1" applyFill="1" applyBorder="1" applyAlignment="1">
      <alignment horizontal="center"/>
    </xf>
    <xf numFmtId="183" fontId="26" fillId="0" borderId="4" xfId="0" applyFont="1" applyFill="1" applyBorder="1" applyAlignment="1">
      <alignment horizontal="center"/>
    </xf>
    <xf numFmtId="183" fontId="16" fillId="0" borderId="5" xfId="0" applyFont="1" applyFill="1" applyBorder="1" applyAlignment="1">
      <alignment horizontal="center"/>
    </xf>
    <xf numFmtId="183" fontId="27" fillId="0" borderId="1" xfId="0" applyFont="1" applyFill="1" applyBorder="1" applyAlignment="1">
      <alignment horizontal="center"/>
    </xf>
    <xf numFmtId="183" fontId="27" fillId="0" borderId="6" xfId="0" applyFont="1" applyFill="1" applyBorder="1" applyAlignment="1">
      <alignment horizontal="center"/>
    </xf>
    <xf numFmtId="183" fontId="27" fillId="0" borderId="0" xfId="0" applyFont="1" applyFill="1" applyBorder="1" applyAlignment="1">
      <alignment horizontal="center"/>
    </xf>
    <xf numFmtId="183" fontId="27" fillId="0" borderId="11" xfId="0" applyFont="1" applyFill="1" applyBorder="1" applyAlignment="1">
      <alignment horizontal="center"/>
    </xf>
    <xf numFmtId="183" fontId="27" fillId="0" borderId="5" xfId="0" applyFont="1" applyFill="1" applyBorder="1" applyAlignment="1" applyProtection="1">
      <alignment horizontal="center"/>
    </xf>
    <xf numFmtId="183" fontId="27" fillId="0" borderId="10" xfId="0" applyFont="1" applyFill="1" applyBorder="1" applyAlignment="1" applyProtection="1">
      <alignment horizontal="center"/>
    </xf>
    <xf numFmtId="183" fontId="27" fillId="0" borderId="6" xfId="0" applyFont="1" applyFill="1" applyBorder="1" applyAlignment="1" applyProtection="1">
      <alignment horizontal="center"/>
    </xf>
    <xf numFmtId="183" fontId="22" fillId="0" borderId="0" xfId="0" applyFont="1" applyFill="1" applyAlignment="1" applyProtection="1">
      <alignment wrapText="1"/>
    </xf>
    <xf numFmtId="183" fontId="0" fillId="0" borderId="0" xfId="0" applyFill="1" applyBorder="1" applyAlignment="1" applyProtection="1">
      <alignment wrapText="1"/>
    </xf>
    <xf numFmtId="183" fontId="0" fillId="0" borderId="3" xfId="0" applyBorder="1" applyAlignment="1" applyProtection="1"/>
    <xf numFmtId="183" fontId="0" fillId="0" borderId="4" xfId="0" applyBorder="1" applyAlignment="1" applyProtection="1"/>
    <xf numFmtId="183" fontId="22" fillId="0" borderId="0" xfId="0" applyFont="1" applyFill="1" applyAlignment="1" applyProtection="1">
      <alignment horizontal="left" wrapText="1"/>
    </xf>
    <xf numFmtId="183" fontId="22" fillId="0" borderId="11" xfId="0" applyFont="1" applyFill="1" applyBorder="1" applyAlignment="1" applyProtection="1">
      <alignment horizontal="left" wrapText="1"/>
    </xf>
  </cellXfs>
  <cellStyles count="3601">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2 2" xfId="2341"/>
    <cellStyle name="20% - Accent1 3 2 2 2" xfId="2561"/>
    <cellStyle name="20% - Accent1 3 2 2 2 2" xfId="3225"/>
    <cellStyle name="20% - Accent1 3 2 2 3" xfId="2763"/>
    <cellStyle name="20% - Accent1 3 2 2 3 2" xfId="3427"/>
    <cellStyle name="20% - Accent1 3 2 2 4" xfId="3023"/>
    <cellStyle name="20% - Accent1 3 2 3" xfId="2435"/>
    <cellStyle name="20% - Accent1 3 2 3 2" xfId="2637"/>
    <cellStyle name="20% - Accent1 3 2 3 2 2" xfId="3301"/>
    <cellStyle name="20% - Accent1 3 2 3 3" xfId="2839"/>
    <cellStyle name="20% - Accent1 3 2 3 3 2" xfId="3503"/>
    <cellStyle name="20% - Accent1 3 2 3 4" xfId="3099"/>
    <cellStyle name="20% - Accent1 3 2 4" xfId="2483"/>
    <cellStyle name="20% - Accent1 3 2 4 2" xfId="3147"/>
    <cellStyle name="20% - Accent1 3 2 5" xfId="2685"/>
    <cellStyle name="20% - Accent1 3 2 5 2" xfId="3349"/>
    <cellStyle name="20% - Accent1 3 2 6" xfId="2858"/>
    <cellStyle name="20% - Accent1 3 3" xfId="389"/>
    <cellStyle name="20% - Accent1 3 3 2" xfId="2935"/>
    <cellStyle name="20% - Accent1 3 3 3" xfId="3537"/>
    <cellStyle name="20% - Accent1 3 3 4" xfId="3577"/>
    <cellStyle name="20% - Accent1 3 4" xfId="2313"/>
    <cellStyle name="20% - Accent1 3 4 2" xfId="2533"/>
    <cellStyle name="20% - Accent1 3 4 2 2" xfId="3197"/>
    <cellStyle name="20% - Accent1 3 4 3" xfId="2735"/>
    <cellStyle name="20% - Accent1 3 4 3 2" xfId="3399"/>
    <cellStyle name="20% - Accent1 3 4 4" xfId="2995"/>
    <cellStyle name="20% - Accent1 3 5" xfId="2407"/>
    <cellStyle name="20% - Accent1 3 5 2" xfId="2609"/>
    <cellStyle name="20% - Accent1 3 5 2 2" xfId="3273"/>
    <cellStyle name="20% - Accent1 3 5 3" xfId="2811"/>
    <cellStyle name="20% - Accent1 3 5 3 2" xfId="3475"/>
    <cellStyle name="20% - Accent1 3 5 4" xfId="3071"/>
    <cellStyle name="20% - Accent1 3 6" xfId="2455"/>
    <cellStyle name="20% - Accent1 3 6 2" xfId="3119"/>
    <cellStyle name="20% - Accent1 3 7" xfId="2657"/>
    <cellStyle name="20% - Accent1 3 7 2" xfId="3321"/>
    <cellStyle name="20% - Accent1 3 8" xfId="2857"/>
    <cellStyle name="20% - Accent1 4" xfId="204"/>
    <cellStyle name="20% - Accent1 4 2" xfId="2327"/>
    <cellStyle name="20% - Accent1 4 2 2" xfId="2547"/>
    <cellStyle name="20% - Accent1 4 2 2 2" xfId="3211"/>
    <cellStyle name="20% - Accent1 4 2 3" xfId="2749"/>
    <cellStyle name="20% - Accent1 4 2 3 2" xfId="3413"/>
    <cellStyle name="20% - Accent1 4 2 4" xfId="3009"/>
    <cellStyle name="20% - Accent1 4 3" xfId="2421"/>
    <cellStyle name="20% - Accent1 4 3 2" xfId="2623"/>
    <cellStyle name="20% - Accent1 4 3 2 2" xfId="3287"/>
    <cellStyle name="20% - Accent1 4 3 3" xfId="2825"/>
    <cellStyle name="20% - Accent1 4 3 3 2" xfId="3489"/>
    <cellStyle name="20% - Accent1 4 3 4" xfId="3085"/>
    <cellStyle name="20% - Accent1 4 4" xfId="2469"/>
    <cellStyle name="20% - Accent1 4 4 2" xfId="3133"/>
    <cellStyle name="20% - Accent1 4 5" xfId="2671"/>
    <cellStyle name="20% - Accent1 4 5 2" xfId="3335"/>
    <cellStyle name="20% - Accent1 4 6" xfId="2859"/>
    <cellStyle name="20% - Accent1 5" xfId="2241"/>
    <cellStyle name="20% - Accent1 5 2" xfId="2362"/>
    <cellStyle name="20% - Accent1 5 2 2" xfId="2581"/>
    <cellStyle name="20% - Accent1 5 2 2 2" xfId="3245"/>
    <cellStyle name="20% - Accent1 5 2 3" xfId="2783"/>
    <cellStyle name="20% - Accent1 5 2 3 2" xfId="3447"/>
    <cellStyle name="20% - Accent1 5 2 4" xfId="3043"/>
    <cellStyle name="20% - Accent1 5 3" xfId="2503"/>
    <cellStyle name="20% - Accent1 5 3 2" xfId="3167"/>
    <cellStyle name="20% - Accent1 5 4" xfId="2705"/>
    <cellStyle name="20% - Accent1 5 4 2" xfId="3369"/>
    <cellStyle name="20% - Accent1 5 5" xfId="2953"/>
    <cellStyle name="20% - Accent1 6" xfId="2255"/>
    <cellStyle name="20% - Accent1 6 2" xfId="2393"/>
    <cellStyle name="20% - Accent1 6 2 2" xfId="2595"/>
    <cellStyle name="20% - Accent1 6 2 2 2" xfId="3259"/>
    <cellStyle name="20% - Accent1 6 2 3" xfId="2797"/>
    <cellStyle name="20% - Accent1 6 2 3 2" xfId="3461"/>
    <cellStyle name="20% - Accent1 6 2 4" xfId="3057"/>
    <cellStyle name="20% - Accent1 6 3" xfId="2288"/>
    <cellStyle name="20% - Accent1 6 3 2" xfId="2981"/>
    <cellStyle name="20% - Accent1 6 3 3" xfId="3549"/>
    <cellStyle name="20% - Accent1 6 3 4" xfId="3589"/>
    <cellStyle name="20% - Accent1 6 4" xfId="2517"/>
    <cellStyle name="20% - Accent1 6 4 2" xfId="3181"/>
    <cellStyle name="20% - Accent1 6 5" xfId="2719"/>
    <cellStyle name="20% - Accent1 6 5 2" xfId="3383"/>
    <cellStyle name="20% - Accent1 6 6" xfId="2967"/>
    <cellStyle name="20% - Accent1 7" xfId="2916"/>
    <cellStyle name="20% - Accent1 8" xfId="3521"/>
    <cellStyle name="20% - Accent1 9" xfId="3561"/>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2 2" xfId="2343"/>
    <cellStyle name="20% - Accent2 3 2 2 2" xfId="2563"/>
    <cellStyle name="20% - Accent2 3 2 2 2 2" xfId="3227"/>
    <cellStyle name="20% - Accent2 3 2 2 3" xfId="2765"/>
    <cellStyle name="20% - Accent2 3 2 2 3 2" xfId="3429"/>
    <cellStyle name="20% - Accent2 3 2 2 4" xfId="3025"/>
    <cellStyle name="20% - Accent2 3 2 3" xfId="2437"/>
    <cellStyle name="20% - Accent2 3 2 3 2" xfId="2639"/>
    <cellStyle name="20% - Accent2 3 2 3 2 2" xfId="3303"/>
    <cellStyle name="20% - Accent2 3 2 3 3" xfId="2841"/>
    <cellStyle name="20% - Accent2 3 2 3 3 2" xfId="3505"/>
    <cellStyle name="20% - Accent2 3 2 3 4" xfId="3101"/>
    <cellStyle name="20% - Accent2 3 2 4" xfId="2485"/>
    <cellStyle name="20% - Accent2 3 2 4 2" xfId="3149"/>
    <cellStyle name="20% - Accent2 3 2 5" xfId="2687"/>
    <cellStyle name="20% - Accent2 3 2 5 2" xfId="3351"/>
    <cellStyle name="20% - Accent2 3 2 6" xfId="2861"/>
    <cellStyle name="20% - Accent2 3 3" xfId="393"/>
    <cellStyle name="20% - Accent2 3 3 2" xfId="2937"/>
    <cellStyle name="20% - Accent2 3 3 3" xfId="3539"/>
    <cellStyle name="20% - Accent2 3 3 4" xfId="3579"/>
    <cellStyle name="20% - Accent2 3 4" xfId="2315"/>
    <cellStyle name="20% - Accent2 3 4 2" xfId="2535"/>
    <cellStyle name="20% - Accent2 3 4 2 2" xfId="3199"/>
    <cellStyle name="20% - Accent2 3 4 3" xfId="2737"/>
    <cellStyle name="20% - Accent2 3 4 3 2" xfId="3401"/>
    <cellStyle name="20% - Accent2 3 4 4" xfId="2997"/>
    <cellStyle name="20% - Accent2 3 5" xfId="2409"/>
    <cellStyle name="20% - Accent2 3 5 2" xfId="2611"/>
    <cellStyle name="20% - Accent2 3 5 2 2" xfId="3275"/>
    <cellStyle name="20% - Accent2 3 5 3" xfId="2813"/>
    <cellStyle name="20% - Accent2 3 5 3 2" xfId="3477"/>
    <cellStyle name="20% - Accent2 3 5 4" xfId="3073"/>
    <cellStyle name="20% - Accent2 3 6" xfId="2457"/>
    <cellStyle name="20% - Accent2 3 6 2" xfId="3121"/>
    <cellStyle name="20% - Accent2 3 7" xfId="2659"/>
    <cellStyle name="20% - Accent2 3 7 2" xfId="3323"/>
    <cellStyle name="20% - Accent2 3 8" xfId="2860"/>
    <cellStyle name="20% - Accent2 4" xfId="206"/>
    <cellStyle name="20% - Accent2 4 2" xfId="2329"/>
    <cellStyle name="20% - Accent2 4 2 2" xfId="2549"/>
    <cellStyle name="20% - Accent2 4 2 2 2" xfId="3213"/>
    <cellStyle name="20% - Accent2 4 2 3" xfId="2751"/>
    <cellStyle name="20% - Accent2 4 2 3 2" xfId="3415"/>
    <cellStyle name="20% - Accent2 4 2 4" xfId="3011"/>
    <cellStyle name="20% - Accent2 4 3" xfId="2423"/>
    <cellStyle name="20% - Accent2 4 3 2" xfId="2625"/>
    <cellStyle name="20% - Accent2 4 3 2 2" xfId="3289"/>
    <cellStyle name="20% - Accent2 4 3 3" xfId="2827"/>
    <cellStyle name="20% - Accent2 4 3 3 2" xfId="3491"/>
    <cellStyle name="20% - Accent2 4 3 4" xfId="3087"/>
    <cellStyle name="20% - Accent2 4 4" xfId="2471"/>
    <cellStyle name="20% - Accent2 4 4 2" xfId="3135"/>
    <cellStyle name="20% - Accent2 4 5" xfId="2673"/>
    <cellStyle name="20% - Accent2 4 5 2" xfId="3337"/>
    <cellStyle name="20% - Accent2 4 6" xfId="2862"/>
    <cellStyle name="20% - Accent2 5" xfId="2243"/>
    <cellStyle name="20% - Accent2 5 2" xfId="2364"/>
    <cellStyle name="20% - Accent2 5 2 2" xfId="2583"/>
    <cellStyle name="20% - Accent2 5 2 2 2" xfId="3247"/>
    <cellStyle name="20% - Accent2 5 2 3" xfId="2785"/>
    <cellStyle name="20% - Accent2 5 2 3 2" xfId="3449"/>
    <cellStyle name="20% - Accent2 5 2 4" xfId="3045"/>
    <cellStyle name="20% - Accent2 5 3" xfId="2505"/>
    <cellStyle name="20% - Accent2 5 3 2" xfId="3169"/>
    <cellStyle name="20% - Accent2 5 4" xfId="2707"/>
    <cellStyle name="20% - Accent2 5 4 2" xfId="3371"/>
    <cellStyle name="20% - Accent2 5 5" xfId="2955"/>
    <cellStyle name="20% - Accent2 6" xfId="2257"/>
    <cellStyle name="20% - Accent2 6 2" xfId="2395"/>
    <cellStyle name="20% - Accent2 6 2 2" xfId="2597"/>
    <cellStyle name="20% - Accent2 6 2 2 2" xfId="3261"/>
    <cellStyle name="20% - Accent2 6 2 3" xfId="2799"/>
    <cellStyle name="20% - Accent2 6 2 3 2" xfId="3463"/>
    <cellStyle name="20% - Accent2 6 2 4" xfId="3059"/>
    <cellStyle name="20% - Accent2 6 3" xfId="2292"/>
    <cellStyle name="20% - Accent2 6 3 2" xfId="2983"/>
    <cellStyle name="20% - Accent2 6 3 3" xfId="3551"/>
    <cellStyle name="20% - Accent2 6 3 4" xfId="3591"/>
    <cellStyle name="20% - Accent2 6 4" xfId="2519"/>
    <cellStyle name="20% - Accent2 6 4 2" xfId="3183"/>
    <cellStyle name="20% - Accent2 6 5" xfId="2721"/>
    <cellStyle name="20% - Accent2 6 5 2" xfId="3385"/>
    <cellStyle name="20% - Accent2 6 6" xfId="2969"/>
    <cellStyle name="20% - Accent2 7" xfId="2918"/>
    <cellStyle name="20% - Accent2 8" xfId="3523"/>
    <cellStyle name="20% - Accent2 9" xfId="3563"/>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2 2" xfId="2345"/>
    <cellStyle name="20% - Accent3 3 2 2 2" xfId="2565"/>
    <cellStyle name="20% - Accent3 3 2 2 2 2" xfId="3229"/>
    <cellStyle name="20% - Accent3 3 2 2 3" xfId="2767"/>
    <cellStyle name="20% - Accent3 3 2 2 3 2" xfId="3431"/>
    <cellStyle name="20% - Accent3 3 2 2 4" xfId="3027"/>
    <cellStyle name="20% - Accent3 3 2 3" xfId="2439"/>
    <cellStyle name="20% - Accent3 3 2 3 2" xfId="2641"/>
    <cellStyle name="20% - Accent3 3 2 3 2 2" xfId="3305"/>
    <cellStyle name="20% - Accent3 3 2 3 3" xfId="2843"/>
    <cellStyle name="20% - Accent3 3 2 3 3 2" xfId="3507"/>
    <cellStyle name="20% - Accent3 3 2 3 4" xfId="3103"/>
    <cellStyle name="20% - Accent3 3 2 4" xfId="2487"/>
    <cellStyle name="20% - Accent3 3 2 4 2" xfId="3151"/>
    <cellStyle name="20% - Accent3 3 2 5" xfId="2689"/>
    <cellStyle name="20% - Accent3 3 2 5 2" xfId="3353"/>
    <cellStyle name="20% - Accent3 3 2 6" xfId="2864"/>
    <cellStyle name="20% - Accent3 3 3" xfId="397"/>
    <cellStyle name="20% - Accent3 3 3 2" xfId="2939"/>
    <cellStyle name="20% - Accent3 3 3 3" xfId="3541"/>
    <cellStyle name="20% - Accent3 3 3 4" xfId="3581"/>
    <cellStyle name="20% - Accent3 3 4" xfId="2317"/>
    <cellStyle name="20% - Accent3 3 4 2" xfId="2537"/>
    <cellStyle name="20% - Accent3 3 4 2 2" xfId="3201"/>
    <cellStyle name="20% - Accent3 3 4 3" xfId="2739"/>
    <cellStyle name="20% - Accent3 3 4 3 2" xfId="3403"/>
    <cellStyle name="20% - Accent3 3 4 4" xfId="2999"/>
    <cellStyle name="20% - Accent3 3 5" xfId="2411"/>
    <cellStyle name="20% - Accent3 3 5 2" xfId="2613"/>
    <cellStyle name="20% - Accent3 3 5 2 2" xfId="3277"/>
    <cellStyle name="20% - Accent3 3 5 3" xfId="2815"/>
    <cellStyle name="20% - Accent3 3 5 3 2" xfId="3479"/>
    <cellStyle name="20% - Accent3 3 5 4" xfId="3075"/>
    <cellStyle name="20% - Accent3 3 6" xfId="2459"/>
    <cellStyle name="20% - Accent3 3 6 2" xfId="3123"/>
    <cellStyle name="20% - Accent3 3 7" xfId="2661"/>
    <cellStyle name="20% - Accent3 3 7 2" xfId="3325"/>
    <cellStyle name="20% - Accent3 3 8" xfId="2863"/>
    <cellStyle name="20% - Accent3 4" xfId="208"/>
    <cellStyle name="20% - Accent3 4 2" xfId="2331"/>
    <cellStyle name="20% - Accent3 4 2 2" xfId="2551"/>
    <cellStyle name="20% - Accent3 4 2 2 2" xfId="3215"/>
    <cellStyle name="20% - Accent3 4 2 3" xfId="2753"/>
    <cellStyle name="20% - Accent3 4 2 3 2" xfId="3417"/>
    <cellStyle name="20% - Accent3 4 2 4" xfId="3013"/>
    <cellStyle name="20% - Accent3 4 3" xfId="2425"/>
    <cellStyle name="20% - Accent3 4 3 2" xfId="2627"/>
    <cellStyle name="20% - Accent3 4 3 2 2" xfId="3291"/>
    <cellStyle name="20% - Accent3 4 3 3" xfId="2829"/>
    <cellStyle name="20% - Accent3 4 3 3 2" xfId="3493"/>
    <cellStyle name="20% - Accent3 4 3 4" xfId="3089"/>
    <cellStyle name="20% - Accent3 4 4" xfId="2473"/>
    <cellStyle name="20% - Accent3 4 4 2" xfId="3137"/>
    <cellStyle name="20% - Accent3 4 5" xfId="2675"/>
    <cellStyle name="20% - Accent3 4 5 2" xfId="3339"/>
    <cellStyle name="20% - Accent3 4 6" xfId="2865"/>
    <cellStyle name="20% - Accent3 5" xfId="2245"/>
    <cellStyle name="20% - Accent3 5 2" xfId="2366"/>
    <cellStyle name="20% - Accent3 5 2 2" xfId="2585"/>
    <cellStyle name="20% - Accent3 5 2 2 2" xfId="3249"/>
    <cellStyle name="20% - Accent3 5 2 3" xfId="2787"/>
    <cellStyle name="20% - Accent3 5 2 3 2" xfId="3451"/>
    <cellStyle name="20% - Accent3 5 2 4" xfId="3047"/>
    <cellStyle name="20% - Accent3 5 3" xfId="2507"/>
    <cellStyle name="20% - Accent3 5 3 2" xfId="3171"/>
    <cellStyle name="20% - Accent3 5 4" xfId="2709"/>
    <cellStyle name="20% - Accent3 5 4 2" xfId="3373"/>
    <cellStyle name="20% - Accent3 5 5" xfId="2957"/>
    <cellStyle name="20% - Accent3 6" xfId="2259"/>
    <cellStyle name="20% - Accent3 6 2" xfId="2397"/>
    <cellStyle name="20% - Accent3 6 2 2" xfId="2599"/>
    <cellStyle name="20% - Accent3 6 2 2 2" xfId="3263"/>
    <cellStyle name="20% - Accent3 6 2 3" xfId="2801"/>
    <cellStyle name="20% - Accent3 6 2 3 2" xfId="3465"/>
    <cellStyle name="20% - Accent3 6 2 4" xfId="3061"/>
    <cellStyle name="20% - Accent3 6 3" xfId="2296"/>
    <cellStyle name="20% - Accent3 6 3 2" xfId="2985"/>
    <cellStyle name="20% - Accent3 6 3 3" xfId="3553"/>
    <cellStyle name="20% - Accent3 6 3 4" xfId="3593"/>
    <cellStyle name="20% - Accent3 6 4" xfId="2521"/>
    <cellStyle name="20% - Accent3 6 4 2" xfId="3185"/>
    <cellStyle name="20% - Accent3 6 5" xfId="2723"/>
    <cellStyle name="20% - Accent3 6 5 2" xfId="3387"/>
    <cellStyle name="20% - Accent3 6 6" xfId="2971"/>
    <cellStyle name="20% - Accent3 7" xfId="2920"/>
    <cellStyle name="20% - Accent3 8" xfId="3525"/>
    <cellStyle name="20% - Accent3 9" xfId="3565"/>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2 2" xfId="2347"/>
    <cellStyle name="20% - Accent4 3 2 2 2" xfId="2567"/>
    <cellStyle name="20% - Accent4 3 2 2 2 2" xfId="3231"/>
    <cellStyle name="20% - Accent4 3 2 2 3" xfId="2769"/>
    <cellStyle name="20% - Accent4 3 2 2 3 2" xfId="3433"/>
    <cellStyle name="20% - Accent4 3 2 2 4" xfId="3029"/>
    <cellStyle name="20% - Accent4 3 2 3" xfId="2441"/>
    <cellStyle name="20% - Accent4 3 2 3 2" xfId="2643"/>
    <cellStyle name="20% - Accent4 3 2 3 2 2" xfId="3307"/>
    <cellStyle name="20% - Accent4 3 2 3 3" xfId="2845"/>
    <cellStyle name="20% - Accent4 3 2 3 3 2" xfId="3509"/>
    <cellStyle name="20% - Accent4 3 2 3 4" xfId="3105"/>
    <cellStyle name="20% - Accent4 3 2 4" xfId="2489"/>
    <cellStyle name="20% - Accent4 3 2 4 2" xfId="3153"/>
    <cellStyle name="20% - Accent4 3 2 5" xfId="2691"/>
    <cellStyle name="20% - Accent4 3 2 5 2" xfId="3355"/>
    <cellStyle name="20% - Accent4 3 2 6" xfId="2867"/>
    <cellStyle name="20% - Accent4 3 3" xfId="401"/>
    <cellStyle name="20% - Accent4 3 3 2" xfId="2941"/>
    <cellStyle name="20% - Accent4 3 3 3" xfId="3543"/>
    <cellStyle name="20% - Accent4 3 3 4" xfId="3583"/>
    <cellStyle name="20% - Accent4 3 4" xfId="2319"/>
    <cellStyle name="20% - Accent4 3 4 2" xfId="2539"/>
    <cellStyle name="20% - Accent4 3 4 2 2" xfId="3203"/>
    <cellStyle name="20% - Accent4 3 4 3" xfId="2741"/>
    <cellStyle name="20% - Accent4 3 4 3 2" xfId="3405"/>
    <cellStyle name="20% - Accent4 3 4 4" xfId="3001"/>
    <cellStyle name="20% - Accent4 3 5" xfId="2413"/>
    <cellStyle name="20% - Accent4 3 5 2" xfId="2615"/>
    <cellStyle name="20% - Accent4 3 5 2 2" xfId="3279"/>
    <cellStyle name="20% - Accent4 3 5 3" xfId="2817"/>
    <cellStyle name="20% - Accent4 3 5 3 2" xfId="3481"/>
    <cellStyle name="20% - Accent4 3 5 4" xfId="3077"/>
    <cellStyle name="20% - Accent4 3 6" xfId="2461"/>
    <cellStyle name="20% - Accent4 3 6 2" xfId="3125"/>
    <cellStyle name="20% - Accent4 3 7" xfId="2663"/>
    <cellStyle name="20% - Accent4 3 7 2" xfId="3327"/>
    <cellStyle name="20% - Accent4 3 8" xfId="2866"/>
    <cellStyle name="20% - Accent4 4" xfId="210"/>
    <cellStyle name="20% - Accent4 4 2" xfId="2333"/>
    <cellStyle name="20% - Accent4 4 2 2" xfId="2553"/>
    <cellStyle name="20% - Accent4 4 2 2 2" xfId="3217"/>
    <cellStyle name="20% - Accent4 4 2 3" xfId="2755"/>
    <cellStyle name="20% - Accent4 4 2 3 2" xfId="3419"/>
    <cellStyle name="20% - Accent4 4 2 4" xfId="3015"/>
    <cellStyle name="20% - Accent4 4 3" xfId="2427"/>
    <cellStyle name="20% - Accent4 4 3 2" xfId="2629"/>
    <cellStyle name="20% - Accent4 4 3 2 2" xfId="3293"/>
    <cellStyle name="20% - Accent4 4 3 3" xfId="2831"/>
    <cellStyle name="20% - Accent4 4 3 3 2" xfId="3495"/>
    <cellStyle name="20% - Accent4 4 3 4" xfId="3091"/>
    <cellStyle name="20% - Accent4 4 4" xfId="2475"/>
    <cellStyle name="20% - Accent4 4 4 2" xfId="3139"/>
    <cellStyle name="20% - Accent4 4 5" xfId="2677"/>
    <cellStyle name="20% - Accent4 4 5 2" xfId="3341"/>
    <cellStyle name="20% - Accent4 4 6" xfId="2868"/>
    <cellStyle name="20% - Accent4 5" xfId="2247"/>
    <cellStyle name="20% - Accent4 5 2" xfId="2368"/>
    <cellStyle name="20% - Accent4 5 2 2" xfId="2587"/>
    <cellStyle name="20% - Accent4 5 2 2 2" xfId="3251"/>
    <cellStyle name="20% - Accent4 5 2 3" xfId="2789"/>
    <cellStyle name="20% - Accent4 5 2 3 2" xfId="3453"/>
    <cellStyle name="20% - Accent4 5 2 4" xfId="3049"/>
    <cellStyle name="20% - Accent4 5 3" xfId="2509"/>
    <cellStyle name="20% - Accent4 5 3 2" xfId="3173"/>
    <cellStyle name="20% - Accent4 5 4" xfId="2711"/>
    <cellStyle name="20% - Accent4 5 4 2" xfId="3375"/>
    <cellStyle name="20% - Accent4 5 5" xfId="2959"/>
    <cellStyle name="20% - Accent4 6" xfId="2261"/>
    <cellStyle name="20% - Accent4 6 2" xfId="2399"/>
    <cellStyle name="20% - Accent4 6 2 2" xfId="2601"/>
    <cellStyle name="20% - Accent4 6 2 2 2" xfId="3265"/>
    <cellStyle name="20% - Accent4 6 2 3" xfId="2803"/>
    <cellStyle name="20% - Accent4 6 2 3 2" xfId="3467"/>
    <cellStyle name="20% - Accent4 6 2 4" xfId="3063"/>
    <cellStyle name="20% - Accent4 6 3" xfId="2300"/>
    <cellStyle name="20% - Accent4 6 3 2" xfId="2987"/>
    <cellStyle name="20% - Accent4 6 3 3" xfId="3555"/>
    <cellStyle name="20% - Accent4 6 3 4" xfId="3595"/>
    <cellStyle name="20% - Accent4 6 4" xfId="2523"/>
    <cellStyle name="20% - Accent4 6 4 2" xfId="3187"/>
    <cellStyle name="20% - Accent4 6 5" xfId="2725"/>
    <cellStyle name="20% - Accent4 6 5 2" xfId="3389"/>
    <cellStyle name="20% - Accent4 6 6" xfId="2973"/>
    <cellStyle name="20% - Accent4 7" xfId="2922"/>
    <cellStyle name="20% - Accent4 8" xfId="3527"/>
    <cellStyle name="20% - Accent4 9" xfId="3567"/>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2 2" xfId="2349"/>
    <cellStyle name="20% - Accent5 3 2 2 2" xfId="2569"/>
    <cellStyle name="20% - Accent5 3 2 2 2 2" xfId="3233"/>
    <cellStyle name="20% - Accent5 3 2 2 3" xfId="2771"/>
    <cellStyle name="20% - Accent5 3 2 2 3 2" xfId="3435"/>
    <cellStyle name="20% - Accent5 3 2 2 4" xfId="3031"/>
    <cellStyle name="20% - Accent5 3 2 3" xfId="2443"/>
    <cellStyle name="20% - Accent5 3 2 3 2" xfId="2645"/>
    <cellStyle name="20% - Accent5 3 2 3 2 2" xfId="3309"/>
    <cellStyle name="20% - Accent5 3 2 3 3" xfId="2847"/>
    <cellStyle name="20% - Accent5 3 2 3 3 2" xfId="3511"/>
    <cellStyle name="20% - Accent5 3 2 3 4" xfId="3107"/>
    <cellStyle name="20% - Accent5 3 2 4" xfId="2491"/>
    <cellStyle name="20% - Accent5 3 2 4 2" xfId="3155"/>
    <cellStyle name="20% - Accent5 3 2 5" xfId="2693"/>
    <cellStyle name="20% - Accent5 3 2 5 2" xfId="3357"/>
    <cellStyle name="20% - Accent5 3 2 6" xfId="2870"/>
    <cellStyle name="20% - Accent5 3 3" xfId="405"/>
    <cellStyle name="20% - Accent5 3 3 2" xfId="2943"/>
    <cellStyle name="20% - Accent5 3 3 3" xfId="3545"/>
    <cellStyle name="20% - Accent5 3 3 4" xfId="3585"/>
    <cellStyle name="20% - Accent5 3 4" xfId="2321"/>
    <cellStyle name="20% - Accent5 3 4 2" xfId="2541"/>
    <cellStyle name="20% - Accent5 3 4 2 2" xfId="3205"/>
    <cellStyle name="20% - Accent5 3 4 3" xfId="2743"/>
    <cellStyle name="20% - Accent5 3 4 3 2" xfId="3407"/>
    <cellStyle name="20% - Accent5 3 4 4" xfId="3003"/>
    <cellStyle name="20% - Accent5 3 5" xfId="2415"/>
    <cellStyle name="20% - Accent5 3 5 2" xfId="2617"/>
    <cellStyle name="20% - Accent5 3 5 2 2" xfId="3281"/>
    <cellStyle name="20% - Accent5 3 5 3" xfId="2819"/>
    <cellStyle name="20% - Accent5 3 5 3 2" xfId="3483"/>
    <cellStyle name="20% - Accent5 3 5 4" xfId="3079"/>
    <cellStyle name="20% - Accent5 3 6" xfId="2463"/>
    <cellStyle name="20% - Accent5 3 6 2" xfId="3127"/>
    <cellStyle name="20% - Accent5 3 7" xfId="2665"/>
    <cellStyle name="20% - Accent5 3 7 2" xfId="3329"/>
    <cellStyle name="20% - Accent5 3 8" xfId="2869"/>
    <cellStyle name="20% - Accent5 4" xfId="212"/>
    <cellStyle name="20% - Accent5 4 2" xfId="2335"/>
    <cellStyle name="20% - Accent5 4 2 2" xfId="2555"/>
    <cellStyle name="20% - Accent5 4 2 2 2" xfId="3219"/>
    <cellStyle name="20% - Accent5 4 2 3" xfId="2757"/>
    <cellStyle name="20% - Accent5 4 2 3 2" xfId="3421"/>
    <cellStyle name="20% - Accent5 4 2 4" xfId="3017"/>
    <cellStyle name="20% - Accent5 4 3" xfId="2429"/>
    <cellStyle name="20% - Accent5 4 3 2" xfId="2631"/>
    <cellStyle name="20% - Accent5 4 3 2 2" xfId="3295"/>
    <cellStyle name="20% - Accent5 4 3 3" xfId="2833"/>
    <cellStyle name="20% - Accent5 4 3 3 2" xfId="3497"/>
    <cellStyle name="20% - Accent5 4 3 4" xfId="3093"/>
    <cellStyle name="20% - Accent5 4 4" xfId="2477"/>
    <cellStyle name="20% - Accent5 4 4 2" xfId="3141"/>
    <cellStyle name="20% - Accent5 4 5" xfId="2679"/>
    <cellStyle name="20% - Accent5 4 5 2" xfId="3343"/>
    <cellStyle name="20% - Accent5 4 6" xfId="2871"/>
    <cellStyle name="20% - Accent5 5" xfId="2249"/>
    <cellStyle name="20% - Accent5 5 2" xfId="2370"/>
    <cellStyle name="20% - Accent5 5 2 2" xfId="2589"/>
    <cellStyle name="20% - Accent5 5 2 2 2" xfId="3253"/>
    <cellStyle name="20% - Accent5 5 2 3" xfId="2791"/>
    <cellStyle name="20% - Accent5 5 2 3 2" xfId="3455"/>
    <cellStyle name="20% - Accent5 5 2 4" xfId="3051"/>
    <cellStyle name="20% - Accent5 5 3" xfId="2511"/>
    <cellStyle name="20% - Accent5 5 3 2" xfId="3175"/>
    <cellStyle name="20% - Accent5 5 4" xfId="2713"/>
    <cellStyle name="20% - Accent5 5 4 2" xfId="3377"/>
    <cellStyle name="20% - Accent5 5 5" xfId="2961"/>
    <cellStyle name="20% - Accent5 6" xfId="2263"/>
    <cellStyle name="20% - Accent5 6 2" xfId="2401"/>
    <cellStyle name="20% - Accent5 6 2 2" xfId="2603"/>
    <cellStyle name="20% - Accent5 6 2 2 2" xfId="3267"/>
    <cellStyle name="20% - Accent5 6 2 3" xfId="2805"/>
    <cellStyle name="20% - Accent5 6 2 3 2" xfId="3469"/>
    <cellStyle name="20% - Accent5 6 2 4" xfId="3065"/>
    <cellStyle name="20% - Accent5 6 3" xfId="2304"/>
    <cellStyle name="20% - Accent5 6 3 2" xfId="2989"/>
    <cellStyle name="20% - Accent5 6 3 3" xfId="3557"/>
    <cellStyle name="20% - Accent5 6 3 4" xfId="3597"/>
    <cellStyle name="20% - Accent5 6 4" xfId="2525"/>
    <cellStyle name="20% - Accent5 6 4 2" xfId="3189"/>
    <cellStyle name="20% - Accent5 6 5" xfId="2727"/>
    <cellStyle name="20% - Accent5 6 5 2" xfId="3391"/>
    <cellStyle name="20% - Accent5 6 6" xfId="2975"/>
    <cellStyle name="20% - Accent5 7" xfId="2924"/>
    <cellStyle name="20% - Accent5 8" xfId="3529"/>
    <cellStyle name="20% - Accent5 9" xfId="3569"/>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2 2" xfId="2351"/>
    <cellStyle name="20% - Accent6 3 2 2 2" xfId="2571"/>
    <cellStyle name="20% - Accent6 3 2 2 2 2" xfId="3235"/>
    <cellStyle name="20% - Accent6 3 2 2 3" xfId="2773"/>
    <cellStyle name="20% - Accent6 3 2 2 3 2" xfId="3437"/>
    <cellStyle name="20% - Accent6 3 2 2 4" xfId="3033"/>
    <cellStyle name="20% - Accent6 3 2 3" xfId="2445"/>
    <cellStyle name="20% - Accent6 3 2 3 2" xfId="2647"/>
    <cellStyle name="20% - Accent6 3 2 3 2 2" xfId="3311"/>
    <cellStyle name="20% - Accent6 3 2 3 3" xfId="2849"/>
    <cellStyle name="20% - Accent6 3 2 3 3 2" xfId="3513"/>
    <cellStyle name="20% - Accent6 3 2 3 4" xfId="3109"/>
    <cellStyle name="20% - Accent6 3 2 4" xfId="2493"/>
    <cellStyle name="20% - Accent6 3 2 4 2" xfId="3157"/>
    <cellStyle name="20% - Accent6 3 2 5" xfId="2695"/>
    <cellStyle name="20% - Accent6 3 2 5 2" xfId="3359"/>
    <cellStyle name="20% - Accent6 3 2 6" xfId="2873"/>
    <cellStyle name="20% - Accent6 3 3" xfId="409"/>
    <cellStyle name="20% - Accent6 3 3 2" xfId="2945"/>
    <cellStyle name="20% - Accent6 3 3 3" xfId="3547"/>
    <cellStyle name="20% - Accent6 3 3 4" xfId="3587"/>
    <cellStyle name="20% - Accent6 3 4" xfId="2323"/>
    <cellStyle name="20% - Accent6 3 4 2" xfId="2543"/>
    <cellStyle name="20% - Accent6 3 4 2 2" xfId="3207"/>
    <cellStyle name="20% - Accent6 3 4 3" xfId="2745"/>
    <cellStyle name="20% - Accent6 3 4 3 2" xfId="3409"/>
    <cellStyle name="20% - Accent6 3 4 4" xfId="3005"/>
    <cellStyle name="20% - Accent6 3 5" xfId="2417"/>
    <cellStyle name="20% - Accent6 3 5 2" xfId="2619"/>
    <cellStyle name="20% - Accent6 3 5 2 2" xfId="3283"/>
    <cellStyle name="20% - Accent6 3 5 3" xfId="2821"/>
    <cellStyle name="20% - Accent6 3 5 3 2" xfId="3485"/>
    <cellStyle name="20% - Accent6 3 5 4" xfId="3081"/>
    <cellStyle name="20% - Accent6 3 6" xfId="2465"/>
    <cellStyle name="20% - Accent6 3 6 2" xfId="3129"/>
    <cellStyle name="20% - Accent6 3 7" xfId="2667"/>
    <cellStyle name="20% - Accent6 3 7 2" xfId="3331"/>
    <cellStyle name="20% - Accent6 3 8" xfId="2872"/>
    <cellStyle name="20% - Accent6 4" xfId="214"/>
    <cellStyle name="20% - Accent6 4 2" xfId="2337"/>
    <cellStyle name="20% - Accent6 4 2 2" xfId="2557"/>
    <cellStyle name="20% - Accent6 4 2 2 2" xfId="3221"/>
    <cellStyle name="20% - Accent6 4 2 3" xfId="2759"/>
    <cellStyle name="20% - Accent6 4 2 3 2" xfId="3423"/>
    <cellStyle name="20% - Accent6 4 2 4" xfId="3019"/>
    <cellStyle name="20% - Accent6 4 3" xfId="2431"/>
    <cellStyle name="20% - Accent6 4 3 2" xfId="2633"/>
    <cellStyle name="20% - Accent6 4 3 2 2" xfId="3297"/>
    <cellStyle name="20% - Accent6 4 3 3" xfId="2835"/>
    <cellStyle name="20% - Accent6 4 3 3 2" xfId="3499"/>
    <cellStyle name="20% - Accent6 4 3 4" xfId="3095"/>
    <cellStyle name="20% - Accent6 4 4" xfId="2479"/>
    <cellStyle name="20% - Accent6 4 4 2" xfId="3143"/>
    <cellStyle name="20% - Accent6 4 5" xfId="2681"/>
    <cellStyle name="20% - Accent6 4 5 2" xfId="3345"/>
    <cellStyle name="20% - Accent6 4 6" xfId="2874"/>
    <cellStyle name="20% - Accent6 5" xfId="2251"/>
    <cellStyle name="20% - Accent6 5 2" xfId="2372"/>
    <cellStyle name="20% - Accent6 5 2 2" xfId="2591"/>
    <cellStyle name="20% - Accent6 5 2 2 2" xfId="3255"/>
    <cellStyle name="20% - Accent6 5 2 3" xfId="2793"/>
    <cellStyle name="20% - Accent6 5 2 3 2" xfId="3457"/>
    <cellStyle name="20% - Accent6 5 2 4" xfId="3053"/>
    <cellStyle name="20% - Accent6 5 3" xfId="2513"/>
    <cellStyle name="20% - Accent6 5 3 2" xfId="3177"/>
    <cellStyle name="20% - Accent6 5 4" xfId="2715"/>
    <cellStyle name="20% - Accent6 5 4 2" xfId="3379"/>
    <cellStyle name="20% - Accent6 5 5" xfId="2963"/>
    <cellStyle name="20% - Accent6 6" xfId="2265"/>
    <cellStyle name="20% - Accent6 6 2" xfId="2403"/>
    <cellStyle name="20% - Accent6 6 2 2" xfId="2605"/>
    <cellStyle name="20% - Accent6 6 2 2 2" xfId="3269"/>
    <cellStyle name="20% - Accent6 6 2 3" xfId="2807"/>
    <cellStyle name="20% - Accent6 6 2 3 2" xfId="3471"/>
    <cellStyle name="20% - Accent6 6 2 4" xfId="3067"/>
    <cellStyle name="20% - Accent6 6 3" xfId="2308"/>
    <cellStyle name="20% - Accent6 6 3 2" xfId="2991"/>
    <cellStyle name="20% - Accent6 6 3 3" xfId="3559"/>
    <cellStyle name="20% - Accent6 6 3 4" xfId="3599"/>
    <cellStyle name="20% - Accent6 6 4" xfId="2527"/>
    <cellStyle name="20% - Accent6 6 4 2" xfId="3191"/>
    <cellStyle name="20% - Accent6 6 5" xfId="2729"/>
    <cellStyle name="20% - Accent6 6 5 2" xfId="3393"/>
    <cellStyle name="20% - Accent6 6 6" xfId="2977"/>
    <cellStyle name="20% - Accent6 7" xfId="2926"/>
    <cellStyle name="20% - Accent6 8" xfId="3531"/>
    <cellStyle name="20% - Accent6 9" xfId="3571"/>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2 2" xfId="2342"/>
    <cellStyle name="40% - Accent1 3 2 2 2" xfId="2562"/>
    <cellStyle name="40% - Accent1 3 2 2 2 2" xfId="3226"/>
    <cellStyle name="40% - Accent1 3 2 2 3" xfId="2764"/>
    <cellStyle name="40% - Accent1 3 2 2 3 2" xfId="3428"/>
    <cellStyle name="40% - Accent1 3 2 2 4" xfId="3024"/>
    <cellStyle name="40% - Accent1 3 2 3" xfId="2436"/>
    <cellStyle name="40% - Accent1 3 2 3 2" xfId="2638"/>
    <cellStyle name="40% - Accent1 3 2 3 2 2" xfId="3302"/>
    <cellStyle name="40% - Accent1 3 2 3 3" xfId="2840"/>
    <cellStyle name="40% - Accent1 3 2 3 3 2" xfId="3504"/>
    <cellStyle name="40% - Accent1 3 2 3 4" xfId="3100"/>
    <cellStyle name="40% - Accent1 3 2 4" xfId="2484"/>
    <cellStyle name="40% - Accent1 3 2 4 2" xfId="3148"/>
    <cellStyle name="40% - Accent1 3 2 5" xfId="2686"/>
    <cellStyle name="40% - Accent1 3 2 5 2" xfId="3350"/>
    <cellStyle name="40% - Accent1 3 2 6" xfId="2876"/>
    <cellStyle name="40% - Accent1 3 3" xfId="390"/>
    <cellStyle name="40% - Accent1 3 3 2" xfId="2936"/>
    <cellStyle name="40% - Accent1 3 3 3" xfId="3538"/>
    <cellStyle name="40% - Accent1 3 3 4" xfId="3578"/>
    <cellStyle name="40% - Accent1 3 4" xfId="2314"/>
    <cellStyle name="40% - Accent1 3 4 2" xfId="2534"/>
    <cellStyle name="40% - Accent1 3 4 2 2" xfId="3198"/>
    <cellStyle name="40% - Accent1 3 4 3" xfId="2736"/>
    <cellStyle name="40% - Accent1 3 4 3 2" xfId="3400"/>
    <cellStyle name="40% - Accent1 3 4 4" xfId="2996"/>
    <cellStyle name="40% - Accent1 3 5" xfId="2408"/>
    <cellStyle name="40% - Accent1 3 5 2" xfId="2610"/>
    <cellStyle name="40% - Accent1 3 5 2 2" xfId="3274"/>
    <cellStyle name="40% - Accent1 3 5 3" xfId="2812"/>
    <cellStyle name="40% - Accent1 3 5 3 2" xfId="3476"/>
    <cellStyle name="40% - Accent1 3 5 4" xfId="3072"/>
    <cellStyle name="40% - Accent1 3 6" xfId="2456"/>
    <cellStyle name="40% - Accent1 3 6 2" xfId="3120"/>
    <cellStyle name="40% - Accent1 3 7" xfId="2658"/>
    <cellStyle name="40% - Accent1 3 7 2" xfId="3322"/>
    <cellStyle name="40% - Accent1 3 8" xfId="2875"/>
    <cellStyle name="40% - Accent1 4" xfId="205"/>
    <cellStyle name="40% - Accent1 4 2" xfId="2328"/>
    <cellStyle name="40% - Accent1 4 2 2" xfId="2548"/>
    <cellStyle name="40% - Accent1 4 2 2 2" xfId="3212"/>
    <cellStyle name="40% - Accent1 4 2 3" xfId="2750"/>
    <cellStyle name="40% - Accent1 4 2 3 2" xfId="3414"/>
    <cellStyle name="40% - Accent1 4 2 4" xfId="3010"/>
    <cellStyle name="40% - Accent1 4 3" xfId="2422"/>
    <cellStyle name="40% - Accent1 4 3 2" xfId="2624"/>
    <cellStyle name="40% - Accent1 4 3 2 2" xfId="3288"/>
    <cellStyle name="40% - Accent1 4 3 3" xfId="2826"/>
    <cellStyle name="40% - Accent1 4 3 3 2" xfId="3490"/>
    <cellStyle name="40% - Accent1 4 3 4" xfId="3086"/>
    <cellStyle name="40% - Accent1 4 4" xfId="2470"/>
    <cellStyle name="40% - Accent1 4 4 2" xfId="3134"/>
    <cellStyle name="40% - Accent1 4 5" xfId="2672"/>
    <cellStyle name="40% - Accent1 4 5 2" xfId="3336"/>
    <cellStyle name="40% - Accent1 4 6" xfId="2877"/>
    <cellStyle name="40% - Accent1 5" xfId="2242"/>
    <cellStyle name="40% - Accent1 5 2" xfId="2363"/>
    <cellStyle name="40% - Accent1 5 2 2" xfId="2582"/>
    <cellStyle name="40% - Accent1 5 2 2 2" xfId="3246"/>
    <cellStyle name="40% - Accent1 5 2 3" xfId="2784"/>
    <cellStyle name="40% - Accent1 5 2 3 2" xfId="3448"/>
    <cellStyle name="40% - Accent1 5 2 4" xfId="3044"/>
    <cellStyle name="40% - Accent1 5 3" xfId="2504"/>
    <cellStyle name="40% - Accent1 5 3 2" xfId="3168"/>
    <cellStyle name="40% - Accent1 5 4" xfId="2706"/>
    <cellStyle name="40% - Accent1 5 4 2" xfId="3370"/>
    <cellStyle name="40% - Accent1 5 5" xfId="2954"/>
    <cellStyle name="40% - Accent1 6" xfId="2256"/>
    <cellStyle name="40% - Accent1 6 2" xfId="2394"/>
    <cellStyle name="40% - Accent1 6 2 2" xfId="2596"/>
    <cellStyle name="40% - Accent1 6 2 2 2" xfId="3260"/>
    <cellStyle name="40% - Accent1 6 2 3" xfId="2798"/>
    <cellStyle name="40% - Accent1 6 2 3 2" xfId="3462"/>
    <cellStyle name="40% - Accent1 6 2 4" xfId="3058"/>
    <cellStyle name="40% - Accent1 6 3" xfId="2289"/>
    <cellStyle name="40% - Accent1 6 3 2" xfId="2982"/>
    <cellStyle name="40% - Accent1 6 3 3" xfId="3550"/>
    <cellStyle name="40% - Accent1 6 3 4" xfId="3590"/>
    <cellStyle name="40% - Accent1 6 4" xfId="2518"/>
    <cellStyle name="40% - Accent1 6 4 2" xfId="3182"/>
    <cellStyle name="40% - Accent1 6 5" xfId="2720"/>
    <cellStyle name="40% - Accent1 6 5 2" xfId="3384"/>
    <cellStyle name="40% - Accent1 6 6" xfId="2968"/>
    <cellStyle name="40% - Accent1 7" xfId="2917"/>
    <cellStyle name="40% - Accent1 8" xfId="3522"/>
    <cellStyle name="40% - Accent1 9" xfId="3562"/>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2 2" xfId="2344"/>
    <cellStyle name="40% - Accent2 3 2 2 2" xfId="2564"/>
    <cellStyle name="40% - Accent2 3 2 2 2 2" xfId="3228"/>
    <cellStyle name="40% - Accent2 3 2 2 3" xfId="2766"/>
    <cellStyle name="40% - Accent2 3 2 2 3 2" xfId="3430"/>
    <cellStyle name="40% - Accent2 3 2 2 4" xfId="3026"/>
    <cellStyle name="40% - Accent2 3 2 3" xfId="2438"/>
    <cellStyle name="40% - Accent2 3 2 3 2" xfId="2640"/>
    <cellStyle name="40% - Accent2 3 2 3 2 2" xfId="3304"/>
    <cellStyle name="40% - Accent2 3 2 3 3" xfId="2842"/>
    <cellStyle name="40% - Accent2 3 2 3 3 2" xfId="3506"/>
    <cellStyle name="40% - Accent2 3 2 3 4" xfId="3102"/>
    <cellStyle name="40% - Accent2 3 2 4" xfId="2486"/>
    <cellStyle name="40% - Accent2 3 2 4 2" xfId="3150"/>
    <cellStyle name="40% - Accent2 3 2 5" xfId="2688"/>
    <cellStyle name="40% - Accent2 3 2 5 2" xfId="3352"/>
    <cellStyle name="40% - Accent2 3 2 6" xfId="2879"/>
    <cellStyle name="40% - Accent2 3 3" xfId="394"/>
    <cellStyle name="40% - Accent2 3 3 2" xfId="2938"/>
    <cellStyle name="40% - Accent2 3 3 3" xfId="3540"/>
    <cellStyle name="40% - Accent2 3 3 4" xfId="3580"/>
    <cellStyle name="40% - Accent2 3 4" xfId="2316"/>
    <cellStyle name="40% - Accent2 3 4 2" xfId="2536"/>
    <cellStyle name="40% - Accent2 3 4 2 2" xfId="3200"/>
    <cellStyle name="40% - Accent2 3 4 3" xfId="2738"/>
    <cellStyle name="40% - Accent2 3 4 3 2" xfId="3402"/>
    <cellStyle name="40% - Accent2 3 4 4" xfId="2998"/>
    <cellStyle name="40% - Accent2 3 5" xfId="2410"/>
    <cellStyle name="40% - Accent2 3 5 2" xfId="2612"/>
    <cellStyle name="40% - Accent2 3 5 2 2" xfId="3276"/>
    <cellStyle name="40% - Accent2 3 5 3" xfId="2814"/>
    <cellStyle name="40% - Accent2 3 5 3 2" xfId="3478"/>
    <cellStyle name="40% - Accent2 3 5 4" xfId="3074"/>
    <cellStyle name="40% - Accent2 3 6" xfId="2458"/>
    <cellStyle name="40% - Accent2 3 6 2" xfId="3122"/>
    <cellStyle name="40% - Accent2 3 7" xfId="2660"/>
    <cellStyle name="40% - Accent2 3 7 2" xfId="3324"/>
    <cellStyle name="40% - Accent2 3 8" xfId="2878"/>
    <cellStyle name="40% - Accent2 4" xfId="207"/>
    <cellStyle name="40% - Accent2 4 2" xfId="2330"/>
    <cellStyle name="40% - Accent2 4 2 2" xfId="2550"/>
    <cellStyle name="40% - Accent2 4 2 2 2" xfId="3214"/>
    <cellStyle name="40% - Accent2 4 2 3" xfId="2752"/>
    <cellStyle name="40% - Accent2 4 2 3 2" xfId="3416"/>
    <cellStyle name="40% - Accent2 4 2 4" xfId="3012"/>
    <cellStyle name="40% - Accent2 4 3" xfId="2424"/>
    <cellStyle name="40% - Accent2 4 3 2" xfId="2626"/>
    <cellStyle name="40% - Accent2 4 3 2 2" xfId="3290"/>
    <cellStyle name="40% - Accent2 4 3 3" xfId="2828"/>
    <cellStyle name="40% - Accent2 4 3 3 2" xfId="3492"/>
    <cellStyle name="40% - Accent2 4 3 4" xfId="3088"/>
    <cellStyle name="40% - Accent2 4 4" xfId="2472"/>
    <cellStyle name="40% - Accent2 4 4 2" xfId="3136"/>
    <cellStyle name="40% - Accent2 4 5" xfId="2674"/>
    <cellStyle name="40% - Accent2 4 5 2" xfId="3338"/>
    <cellStyle name="40% - Accent2 4 6" xfId="2880"/>
    <cellStyle name="40% - Accent2 5" xfId="2244"/>
    <cellStyle name="40% - Accent2 5 2" xfId="2365"/>
    <cellStyle name="40% - Accent2 5 2 2" xfId="2584"/>
    <cellStyle name="40% - Accent2 5 2 2 2" xfId="3248"/>
    <cellStyle name="40% - Accent2 5 2 3" xfId="2786"/>
    <cellStyle name="40% - Accent2 5 2 3 2" xfId="3450"/>
    <cellStyle name="40% - Accent2 5 2 4" xfId="3046"/>
    <cellStyle name="40% - Accent2 5 3" xfId="2506"/>
    <cellStyle name="40% - Accent2 5 3 2" xfId="3170"/>
    <cellStyle name="40% - Accent2 5 4" xfId="2708"/>
    <cellStyle name="40% - Accent2 5 4 2" xfId="3372"/>
    <cellStyle name="40% - Accent2 5 5" xfId="2956"/>
    <cellStyle name="40% - Accent2 6" xfId="2258"/>
    <cellStyle name="40% - Accent2 6 2" xfId="2396"/>
    <cellStyle name="40% - Accent2 6 2 2" xfId="2598"/>
    <cellStyle name="40% - Accent2 6 2 2 2" xfId="3262"/>
    <cellStyle name="40% - Accent2 6 2 3" xfId="2800"/>
    <cellStyle name="40% - Accent2 6 2 3 2" xfId="3464"/>
    <cellStyle name="40% - Accent2 6 2 4" xfId="3060"/>
    <cellStyle name="40% - Accent2 6 3" xfId="2293"/>
    <cellStyle name="40% - Accent2 6 3 2" xfId="2984"/>
    <cellStyle name="40% - Accent2 6 3 3" xfId="3552"/>
    <cellStyle name="40% - Accent2 6 3 4" xfId="3592"/>
    <cellStyle name="40% - Accent2 6 4" xfId="2520"/>
    <cellStyle name="40% - Accent2 6 4 2" xfId="3184"/>
    <cellStyle name="40% - Accent2 6 5" xfId="2722"/>
    <cellStyle name="40% - Accent2 6 5 2" xfId="3386"/>
    <cellStyle name="40% - Accent2 6 6" xfId="2970"/>
    <cellStyle name="40% - Accent2 7" xfId="2919"/>
    <cellStyle name="40% - Accent2 8" xfId="3524"/>
    <cellStyle name="40% - Accent2 9" xfId="3564"/>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2 2" xfId="2346"/>
    <cellStyle name="40% - Accent3 3 2 2 2" xfId="2566"/>
    <cellStyle name="40% - Accent3 3 2 2 2 2" xfId="3230"/>
    <cellStyle name="40% - Accent3 3 2 2 3" xfId="2768"/>
    <cellStyle name="40% - Accent3 3 2 2 3 2" xfId="3432"/>
    <cellStyle name="40% - Accent3 3 2 2 4" xfId="3028"/>
    <cellStyle name="40% - Accent3 3 2 3" xfId="2440"/>
    <cellStyle name="40% - Accent3 3 2 3 2" xfId="2642"/>
    <cellStyle name="40% - Accent3 3 2 3 2 2" xfId="3306"/>
    <cellStyle name="40% - Accent3 3 2 3 3" xfId="2844"/>
    <cellStyle name="40% - Accent3 3 2 3 3 2" xfId="3508"/>
    <cellStyle name="40% - Accent3 3 2 3 4" xfId="3104"/>
    <cellStyle name="40% - Accent3 3 2 4" xfId="2488"/>
    <cellStyle name="40% - Accent3 3 2 4 2" xfId="3152"/>
    <cellStyle name="40% - Accent3 3 2 5" xfId="2690"/>
    <cellStyle name="40% - Accent3 3 2 5 2" xfId="3354"/>
    <cellStyle name="40% - Accent3 3 2 6" xfId="2882"/>
    <cellStyle name="40% - Accent3 3 3" xfId="398"/>
    <cellStyle name="40% - Accent3 3 3 2" xfId="2940"/>
    <cellStyle name="40% - Accent3 3 3 3" xfId="3542"/>
    <cellStyle name="40% - Accent3 3 3 4" xfId="3582"/>
    <cellStyle name="40% - Accent3 3 4" xfId="2318"/>
    <cellStyle name="40% - Accent3 3 4 2" xfId="2538"/>
    <cellStyle name="40% - Accent3 3 4 2 2" xfId="3202"/>
    <cellStyle name="40% - Accent3 3 4 3" xfId="2740"/>
    <cellStyle name="40% - Accent3 3 4 3 2" xfId="3404"/>
    <cellStyle name="40% - Accent3 3 4 4" xfId="3000"/>
    <cellStyle name="40% - Accent3 3 5" xfId="2412"/>
    <cellStyle name="40% - Accent3 3 5 2" xfId="2614"/>
    <cellStyle name="40% - Accent3 3 5 2 2" xfId="3278"/>
    <cellStyle name="40% - Accent3 3 5 3" xfId="2816"/>
    <cellStyle name="40% - Accent3 3 5 3 2" xfId="3480"/>
    <cellStyle name="40% - Accent3 3 5 4" xfId="3076"/>
    <cellStyle name="40% - Accent3 3 6" xfId="2460"/>
    <cellStyle name="40% - Accent3 3 6 2" xfId="3124"/>
    <cellStyle name="40% - Accent3 3 7" xfId="2662"/>
    <cellStyle name="40% - Accent3 3 7 2" xfId="3326"/>
    <cellStyle name="40% - Accent3 3 8" xfId="2881"/>
    <cellStyle name="40% - Accent3 4" xfId="209"/>
    <cellStyle name="40% - Accent3 4 2" xfId="2332"/>
    <cellStyle name="40% - Accent3 4 2 2" xfId="2552"/>
    <cellStyle name="40% - Accent3 4 2 2 2" xfId="3216"/>
    <cellStyle name="40% - Accent3 4 2 3" xfId="2754"/>
    <cellStyle name="40% - Accent3 4 2 3 2" xfId="3418"/>
    <cellStyle name="40% - Accent3 4 2 4" xfId="3014"/>
    <cellStyle name="40% - Accent3 4 3" xfId="2426"/>
    <cellStyle name="40% - Accent3 4 3 2" xfId="2628"/>
    <cellStyle name="40% - Accent3 4 3 2 2" xfId="3292"/>
    <cellStyle name="40% - Accent3 4 3 3" xfId="2830"/>
    <cellStyle name="40% - Accent3 4 3 3 2" xfId="3494"/>
    <cellStyle name="40% - Accent3 4 3 4" xfId="3090"/>
    <cellStyle name="40% - Accent3 4 4" xfId="2474"/>
    <cellStyle name="40% - Accent3 4 4 2" xfId="3138"/>
    <cellStyle name="40% - Accent3 4 5" xfId="2676"/>
    <cellStyle name="40% - Accent3 4 5 2" xfId="3340"/>
    <cellStyle name="40% - Accent3 4 6" xfId="2883"/>
    <cellStyle name="40% - Accent3 5" xfId="2246"/>
    <cellStyle name="40% - Accent3 5 2" xfId="2367"/>
    <cellStyle name="40% - Accent3 5 2 2" xfId="2586"/>
    <cellStyle name="40% - Accent3 5 2 2 2" xfId="3250"/>
    <cellStyle name="40% - Accent3 5 2 3" xfId="2788"/>
    <cellStyle name="40% - Accent3 5 2 3 2" xfId="3452"/>
    <cellStyle name="40% - Accent3 5 2 4" xfId="3048"/>
    <cellStyle name="40% - Accent3 5 3" xfId="2508"/>
    <cellStyle name="40% - Accent3 5 3 2" xfId="3172"/>
    <cellStyle name="40% - Accent3 5 4" xfId="2710"/>
    <cellStyle name="40% - Accent3 5 4 2" xfId="3374"/>
    <cellStyle name="40% - Accent3 5 5" xfId="2958"/>
    <cellStyle name="40% - Accent3 6" xfId="2260"/>
    <cellStyle name="40% - Accent3 6 2" xfId="2398"/>
    <cellStyle name="40% - Accent3 6 2 2" xfId="2600"/>
    <cellStyle name="40% - Accent3 6 2 2 2" xfId="3264"/>
    <cellStyle name="40% - Accent3 6 2 3" xfId="2802"/>
    <cellStyle name="40% - Accent3 6 2 3 2" xfId="3466"/>
    <cellStyle name="40% - Accent3 6 2 4" xfId="3062"/>
    <cellStyle name="40% - Accent3 6 3" xfId="2297"/>
    <cellStyle name="40% - Accent3 6 3 2" xfId="2986"/>
    <cellStyle name="40% - Accent3 6 3 3" xfId="3554"/>
    <cellStyle name="40% - Accent3 6 3 4" xfId="3594"/>
    <cellStyle name="40% - Accent3 6 4" xfId="2522"/>
    <cellStyle name="40% - Accent3 6 4 2" xfId="3186"/>
    <cellStyle name="40% - Accent3 6 5" xfId="2724"/>
    <cellStyle name="40% - Accent3 6 5 2" xfId="3388"/>
    <cellStyle name="40% - Accent3 6 6" xfId="2972"/>
    <cellStyle name="40% - Accent3 7" xfId="2921"/>
    <cellStyle name="40% - Accent3 8" xfId="3526"/>
    <cellStyle name="40% - Accent3 9" xfId="3566"/>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2 2" xfId="2348"/>
    <cellStyle name="40% - Accent4 3 2 2 2" xfId="2568"/>
    <cellStyle name="40% - Accent4 3 2 2 2 2" xfId="3232"/>
    <cellStyle name="40% - Accent4 3 2 2 3" xfId="2770"/>
    <cellStyle name="40% - Accent4 3 2 2 3 2" xfId="3434"/>
    <cellStyle name="40% - Accent4 3 2 2 4" xfId="3030"/>
    <cellStyle name="40% - Accent4 3 2 3" xfId="2442"/>
    <cellStyle name="40% - Accent4 3 2 3 2" xfId="2644"/>
    <cellStyle name="40% - Accent4 3 2 3 2 2" xfId="3308"/>
    <cellStyle name="40% - Accent4 3 2 3 3" xfId="2846"/>
    <cellStyle name="40% - Accent4 3 2 3 3 2" xfId="3510"/>
    <cellStyle name="40% - Accent4 3 2 3 4" xfId="3106"/>
    <cellStyle name="40% - Accent4 3 2 4" xfId="2490"/>
    <cellStyle name="40% - Accent4 3 2 4 2" xfId="3154"/>
    <cellStyle name="40% - Accent4 3 2 5" xfId="2692"/>
    <cellStyle name="40% - Accent4 3 2 5 2" xfId="3356"/>
    <cellStyle name="40% - Accent4 3 2 6" xfId="2885"/>
    <cellStyle name="40% - Accent4 3 3" xfId="402"/>
    <cellStyle name="40% - Accent4 3 3 2" xfId="2942"/>
    <cellStyle name="40% - Accent4 3 3 3" xfId="3544"/>
    <cellStyle name="40% - Accent4 3 3 4" xfId="3584"/>
    <cellStyle name="40% - Accent4 3 4" xfId="2320"/>
    <cellStyle name="40% - Accent4 3 4 2" xfId="2540"/>
    <cellStyle name="40% - Accent4 3 4 2 2" xfId="3204"/>
    <cellStyle name="40% - Accent4 3 4 3" xfId="2742"/>
    <cellStyle name="40% - Accent4 3 4 3 2" xfId="3406"/>
    <cellStyle name="40% - Accent4 3 4 4" xfId="3002"/>
    <cellStyle name="40% - Accent4 3 5" xfId="2414"/>
    <cellStyle name="40% - Accent4 3 5 2" xfId="2616"/>
    <cellStyle name="40% - Accent4 3 5 2 2" xfId="3280"/>
    <cellStyle name="40% - Accent4 3 5 3" xfId="2818"/>
    <cellStyle name="40% - Accent4 3 5 3 2" xfId="3482"/>
    <cellStyle name="40% - Accent4 3 5 4" xfId="3078"/>
    <cellStyle name="40% - Accent4 3 6" xfId="2462"/>
    <cellStyle name="40% - Accent4 3 6 2" xfId="3126"/>
    <cellStyle name="40% - Accent4 3 7" xfId="2664"/>
    <cellStyle name="40% - Accent4 3 7 2" xfId="3328"/>
    <cellStyle name="40% - Accent4 3 8" xfId="2884"/>
    <cellStyle name="40% - Accent4 4" xfId="211"/>
    <cellStyle name="40% - Accent4 4 2" xfId="2334"/>
    <cellStyle name="40% - Accent4 4 2 2" xfId="2554"/>
    <cellStyle name="40% - Accent4 4 2 2 2" xfId="3218"/>
    <cellStyle name="40% - Accent4 4 2 3" xfId="2756"/>
    <cellStyle name="40% - Accent4 4 2 3 2" xfId="3420"/>
    <cellStyle name="40% - Accent4 4 2 4" xfId="3016"/>
    <cellStyle name="40% - Accent4 4 3" xfId="2428"/>
    <cellStyle name="40% - Accent4 4 3 2" xfId="2630"/>
    <cellStyle name="40% - Accent4 4 3 2 2" xfId="3294"/>
    <cellStyle name="40% - Accent4 4 3 3" xfId="2832"/>
    <cellStyle name="40% - Accent4 4 3 3 2" xfId="3496"/>
    <cellStyle name="40% - Accent4 4 3 4" xfId="3092"/>
    <cellStyle name="40% - Accent4 4 4" xfId="2476"/>
    <cellStyle name="40% - Accent4 4 4 2" xfId="3140"/>
    <cellStyle name="40% - Accent4 4 5" xfId="2678"/>
    <cellStyle name="40% - Accent4 4 5 2" xfId="3342"/>
    <cellStyle name="40% - Accent4 4 6" xfId="2886"/>
    <cellStyle name="40% - Accent4 5" xfId="2248"/>
    <cellStyle name="40% - Accent4 5 2" xfId="2369"/>
    <cellStyle name="40% - Accent4 5 2 2" xfId="2588"/>
    <cellStyle name="40% - Accent4 5 2 2 2" xfId="3252"/>
    <cellStyle name="40% - Accent4 5 2 3" xfId="2790"/>
    <cellStyle name="40% - Accent4 5 2 3 2" xfId="3454"/>
    <cellStyle name="40% - Accent4 5 2 4" xfId="3050"/>
    <cellStyle name="40% - Accent4 5 3" xfId="2510"/>
    <cellStyle name="40% - Accent4 5 3 2" xfId="3174"/>
    <cellStyle name="40% - Accent4 5 4" xfId="2712"/>
    <cellStyle name="40% - Accent4 5 4 2" xfId="3376"/>
    <cellStyle name="40% - Accent4 5 5" xfId="2960"/>
    <cellStyle name="40% - Accent4 6" xfId="2262"/>
    <cellStyle name="40% - Accent4 6 2" xfId="2400"/>
    <cellStyle name="40% - Accent4 6 2 2" xfId="2602"/>
    <cellStyle name="40% - Accent4 6 2 2 2" xfId="3266"/>
    <cellStyle name="40% - Accent4 6 2 3" xfId="2804"/>
    <cellStyle name="40% - Accent4 6 2 3 2" xfId="3468"/>
    <cellStyle name="40% - Accent4 6 2 4" xfId="3064"/>
    <cellStyle name="40% - Accent4 6 3" xfId="2301"/>
    <cellStyle name="40% - Accent4 6 3 2" xfId="2988"/>
    <cellStyle name="40% - Accent4 6 3 3" xfId="3556"/>
    <cellStyle name="40% - Accent4 6 3 4" xfId="3596"/>
    <cellStyle name="40% - Accent4 6 4" xfId="2524"/>
    <cellStyle name="40% - Accent4 6 4 2" xfId="3188"/>
    <cellStyle name="40% - Accent4 6 5" xfId="2726"/>
    <cellStyle name="40% - Accent4 6 5 2" xfId="3390"/>
    <cellStyle name="40% - Accent4 6 6" xfId="2974"/>
    <cellStyle name="40% - Accent4 7" xfId="2923"/>
    <cellStyle name="40% - Accent4 8" xfId="3528"/>
    <cellStyle name="40% - Accent4 9" xfId="3568"/>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2 2" xfId="2350"/>
    <cellStyle name="40% - Accent5 3 2 2 2" xfId="2570"/>
    <cellStyle name="40% - Accent5 3 2 2 2 2" xfId="3234"/>
    <cellStyle name="40% - Accent5 3 2 2 3" xfId="2772"/>
    <cellStyle name="40% - Accent5 3 2 2 3 2" xfId="3436"/>
    <cellStyle name="40% - Accent5 3 2 2 4" xfId="3032"/>
    <cellStyle name="40% - Accent5 3 2 3" xfId="2444"/>
    <cellStyle name="40% - Accent5 3 2 3 2" xfId="2646"/>
    <cellStyle name="40% - Accent5 3 2 3 2 2" xfId="3310"/>
    <cellStyle name="40% - Accent5 3 2 3 3" xfId="2848"/>
    <cellStyle name="40% - Accent5 3 2 3 3 2" xfId="3512"/>
    <cellStyle name="40% - Accent5 3 2 3 4" xfId="3108"/>
    <cellStyle name="40% - Accent5 3 2 4" xfId="2492"/>
    <cellStyle name="40% - Accent5 3 2 4 2" xfId="3156"/>
    <cellStyle name="40% - Accent5 3 2 5" xfId="2694"/>
    <cellStyle name="40% - Accent5 3 2 5 2" xfId="3358"/>
    <cellStyle name="40% - Accent5 3 2 6" xfId="2888"/>
    <cellStyle name="40% - Accent5 3 3" xfId="406"/>
    <cellStyle name="40% - Accent5 3 3 2" xfId="2944"/>
    <cellStyle name="40% - Accent5 3 3 3" xfId="3546"/>
    <cellStyle name="40% - Accent5 3 3 4" xfId="3586"/>
    <cellStyle name="40% - Accent5 3 4" xfId="2322"/>
    <cellStyle name="40% - Accent5 3 4 2" xfId="2542"/>
    <cellStyle name="40% - Accent5 3 4 2 2" xfId="3206"/>
    <cellStyle name="40% - Accent5 3 4 3" xfId="2744"/>
    <cellStyle name="40% - Accent5 3 4 3 2" xfId="3408"/>
    <cellStyle name="40% - Accent5 3 4 4" xfId="3004"/>
    <cellStyle name="40% - Accent5 3 5" xfId="2416"/>
    <cellStyle name="40% - Accent5 3 5 2" xfId="2618"/>
    <cellStyle name="40% - Accent5 3 5 2 2" xfId="3282"/>
    <cellStyle name="40% - Accent5 3 5 3" xfId="2820"/>
    <cellStyle name="40% - Accent5 3 5 3 2" xfId="3484"/>
    <cellStyle name="40% - Accent5 3 5 4" xfId="3080"/>
    <cellStyle name="40% - Accent5 3 6" xfId="2464"/>
    <cellStyle name="40% - Accent5 3 6 2" xfId="3128"/>
    <cellStyle name="40% - Accent5 3 7" xfId="2666"/>
    <cellStyle name="40% - Accent5 3 7 2" xfId="3330"/>
    <cellStyle name="40% - Accent5 3 8" xfId="2887"/>
    <cellStyle name="40% - Accent5 4" xfId="213"/>
    <cellStyle name="40% - Accent5 4 2" xfId="2336"/>
    <cellStyle name="40% - Accent5 4 2 2" xfId="2556"/>
    <cellStyle name="40% - Accent5 4 2 2 2" xfId="3220"/>
    <cellStyle name="40% - Accent5 4 2 3" xfId="2758"/>
    <cellStyle name="40% - Accent5 4 2 3 2" xfId="3422"/>
    <cellStyle name="40% - Accent5 4 2 4" xfId="3018"/>
    <cellStyle name="40% - Accent5 4 3" xfId="2430"/>
    <cellStyle name="40% - Accent5 4 3 2" xfId="2632"/>
    <cellStyle name="40% - Accent5 4 3 2 2" xfId="3296"/>
    <cellStyle name="40% - Accent5 4 3 3" xfId="2834"/>
    <cellStyle name="40% - Accent5 4 3 3 2" xfId="3498"/>
    <cellStyle name="40% - Accent5 4 3 4" xfId="3094"/>
    <cellStyle name="40% - Accent5 4 4" xfId="2478"/>
    <cellStyle name="40% - Accent5 4 4 2" xfId="3142"/>
    <cellStyle name="40% - Accent5 4 5" xfId="2680"/>
    <cellStyle name="40% - Accent5 4 5 2" xfId="3344"/>
    <cellStyle name="40% - Accent5 4 6" xfId="2889"/>
    <cellStyle name="40% - Accent5 5" xfId="2250"/>
    <cellStyle name="40% - Accent5 5 2" xfId="2371"/>
    <cellStyle name="40% - Accent5 5 2 2" xfId="2590"/>
    <cellStyle name="40% - Accent5 5 2 2 2" xfId="3254"/>
    <cellStyle name="40% - Accent5 5 2 3" xfId="2792"/>
    <cellStyle name="40% - Accent5 5 2 3 2" xfId="3456"/>
    <cellStyle name="40% - Accent5 5 2 4" xfId="3052"/>
    <cellStyle name="40% - Accent5 5 3" xfId="2512"/>
    <cellStyle name="40% - Accent5 5 3 2" xfId="3176"/>
    <cellStyle name="40% - Accent5 5 4" xfId="2714"/>
    <cellStyle name="40% - Accent5 5 4 2" xfId="3378"/>
    <cellStyle name="40% - Accent5 5 5" xfId="2962"/>
    <cellStyle name="40% - Accent5 6" xfId="2264"/>
    <cellStyle name="40% - Accent5 6 2" xfId="2402"/>
    <cellStyle name="40% - Accent5 6 2 2" xfId="2604"/>
    <cellStyle name="40% - Accent5 6 2 2 2" xfId="3268"/>
    <cellStyle name="40% - Accent5 6 2 3" xfId="2806"/>
    <cellStyle name="40% - Accent5 6 2 3 2" xfId="3470"/>
    <cellStyle name="40% - Accent5 6 2 4" xfId="3066"/>
    <cellStyle name="40% - Accent5 6 3" xfId="2305"/>
    <cellStyle name="40% - Accent5 6 3 2" xfId="2990"/>
    <cellStyle name="40% - Accent5 6 3 3" xfId="3558"/>
    <cellStyle name="40% - Accent5 6 3 4" xfId="3598"/>
    <cellStyle name="40% - Accent5 6 4" xfId="2526"/>
    <cellStyle name="40% - Accent5 6 4 2" xfId="3190"/>
    <cellStyle name="40% - Accent5 6 5" xfId="2728"/>
    <cellStyle name="40% - Accent5 6 5 2" xfId="3392"/>
    <cellStyle name="40% - Accent5 6 6" xfId="2976"/>
    <cellStyle name="40% - Accent5 7" xfId="2925"/>
    <cellStyle name="40% - Accent5 8" xfId="3530"/>
    <cellStyle name="40% - Accent5 9" xfId="3570"/>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2 2" xfId="2352"/>
    <cellStyle name="40% - Accent6 3 2 2 2" xfId="2572"/>
    <cellStyle name="40% - Accent6 3 2 2 2 2" xfId="3236"/>
    <cellStyle name="40% - Accent6 3 2 2 3" xfId="2774"/>
    <cellStyle name="40% - Accent6 3 2 2 3 2" xfId="3438"/>
    <cellStyle name="40% - Accent6 3 2 2 4" xfId="3034"/>
    <cellStyle name="40% - Accent6 3 2 3" xfId="2446"/>
    <cellStyle name="40% - Accent6 3 2 3 2" xfId="2648"/>
    <cellStyle name="40% - Accent6 3 2 3 2 2" xfId="3312"/>
    <cellStyle name="40% - Accent6 3 2 3 3" xfId="2850"/>
    <cellStyle name="40% - Accent6 3 2 3 3 2" xfId="3514"/>
    <cellStyle name="40% - Accent6 3 2 3 4" xfId="3110"/>
    <cellStyle name="40% - Accent6 3 2 4" xfId="2494"/>
    <cellStyle name="40% - Accent6 3 2 4 2" xfId="3158"/>
    <cellStyle name="40% - Accent6 3 2 5" xfId="2696"/>
    <cellStyle name="40% - Accent6 3 2 5 2" xfId="3360"/>
    <cellStyle name="40% - Accent6 3 2 6" xfId="2891"/>
    <cellStyle name="40% - Accent6 3 3" xfId="410"/>
    <cellStyle name="40% - Accent6 3 3 2" xfId="2946"/>
    <cellStyle name="40% - Accent6 3 3 3" xfId="3548"/>
    <cellStyle name="40% - Accent6 3 3 4" xfId="3588"/>
    <cellStyle name="40% - Accent6 3 4" xfId="2324"/>
    <cellStyle name="40% - Accent6 3 4 2" xfId="2544"/>
    <cellStyle name="40% - Accent6 3 4 2 2" xfId="3208"/>
    <cellStyle name="40% - Accent6 3 4 3" xfId="2746"/>
    <cellStyle name="40% - Accent6 3 4 3 2" xfId="3410"/>
    <cellStyle name="40% - Accent6 3 4 4" xfId="3006"/>
    <cellStyle name="40% - Accent6 3 5" xfId="2418"/>
    <cellStyle name="40% - Accent6 3 5 2" xfId="2620"/>
    <cellStyle name="40% - Accent6 3 5 2 2" xfId="3284"/>
    <cellStyle name="40% - Accent6 3 5 3" xfId="2822"/>
    <cellStyle name="40% - Accent6 3 5 3 2" xfId="3486"/>
    <cellStyle name="40% - Accent6 3 5 4" xfId="3082"/>
    <cellStyle name="40% - Accent6 3 6" xfId="2466"/>
    <cellStyle name="40% - Accent6 3 6 2" xfId="3130"/>
    <cellStyle name="40% - Accent6 3 7" xfId="2668"/>
    <cellStyle name="40% - Accent6 3 7 2" xfId="3332"/>
    <cellStyle name="40% - Accent6 3 8" xfId="2890"/>
    <cellStyle name="40% - Accent6 4" xfId="215"/>
    <cellStyle name="40% - Accent6 4 2" xfId="2338"/>
    <cellStyle name="40% - Accent6 4 2 2" xfId="2558"/>
    <cellStyle name="40% - Accent6 4 2 2 2" xfId="3222"/>
    <cellStyle name="40% - Accent6 4 2 3" xfId="2760"/>
    <cellStyle name="40% - Accent6 4 2 3 2" xfId="3424"/>
    <cellStyle name="40% - Accent6 4 2 4" xfId="3020"/>
    <cellStyle name="40% - Accent6 4 3" xfId="2432"/>
    <cellStyle name="40% - Accent6 4 3 2" xfId="2634"/>
    <cellStyle name="40% - Accent6 4 3 2 2" xfId="3298"/>
    <cellStyle name="40% - Accent6 4 3 3" xfId="2836"/>
    <cellStyle name="40% - Accent6 4 3 3 2" xfId="3500"/>
    <cellStyle name="40% - Accent6 4 3 4" xfId="3096"/>
    <cellStyle name="40% - Accent6 4 4" xfId="2480"/>
    <cellStyle name="40% - Accent6 4 4 2" xfId="3144"/>
    <cellStyle name="40% - Accent6 4 5" xfId="2682"/>
    <cellStyle name="40% - Accent6 4 5 2" xfId="3346"/>
    <cellStyle name="40% - Accent6 4 6" xfId="2892"/>
    <cellStyle name="40% - Accent6 5" xfId="2252"/>
    <cellStyle name="40% - Accent6 5 2" xfId="2373"/>
    <cellStyle name="40% - Accent6 5 2 2" xfId="2592"/>
    <cellStyle name="40% - Accent6 5 2 2 2" xfId="3256"/>
    <cellStyle name="40% - Accent6 5 2 3" xfId="2794"/>
    <cellStyle name="40% - Accent6 5 2 3 2" xfId="3458"/>
    <cellStyle name="40% - Accent6 5 2 4" xfId="3054"/>
    <cellStyle name="40% - Accent6 5 3" xfId="2514"/>
    <cellStyle name="40% - Accent6 5 3 2" xfId="3178"/>
    <cellStyle name="40% - Accent6 5 4" xfId="2716"/>
    <cellStyle name="40% - Accent6 5 4 2" xfId="3380"/>
    <cellStyle name="40% - Accent6 5 5" xfId="2964"/>
    <cellStyle name="40% - Accent6 6" xfId="2266"/>
    <cellStyle name="40% - Accent6 6 2" xfId="2404"/>
    <cellStyle name="40% - Accent6 6 2 2" xfId="2606"/>
    <cellStyle name="40% - Accent6 6 2 2 2" xfId="3270"/>
    <cellStyle name="40% - Accent6 6 2 3" xfId="2808"/>
    <cellStyle name="40% - Accent6 6 2 3 2" xfId="3472"/>
    <cellStyle name="40% - Accent6 6 2 4" xfId="3068"/>
    <cellStyle name="40% - Accent6 6 3" xfId="2309"/>
    <cellStyle name="40% - Accent6 6 3 2" xfId="2992"/>
    <cellStyle name="40% - Accent6 6 3 3" xfId="3560"/>
    <cellStyle name="40% - Accent6 6 3 4" xfId="3600"/>
    <cellStyle name="40% - Accent6 6 4" xfId="2528"/>
    <cellStyle name="40% - Accent6 6 4 2" xfId="3192"/>
    <cellStyle name="40% - Accent6 6 5" xfId="2730"/>
    <cellStyle name="40% - Accent6 6 5 2" xfId="3394"/>
    <cellStyle name="40% - Accent6 6 6" xfId="2978"/>
    <cellStyle name="40% - Accent6 7" xfId="2927"/>
    <cellStyle name="40% - Accent6 8" xfId="3532"/>
    <cellStyle name="40% - Accent6 9" xfId="3572"/>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1 4" xfId="2290"/>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2 4" xfId="2294"/>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3 4" xfId="2298"/>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4 4" xfId="2302"/>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5 4" xfId="2306"/>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60% - Accent6 4" xfId="2310"/>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1 4" xfId="2287"/>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2 4" xfId="2291"/>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3 4" xfId="2295"/>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4 4" xfId="2299"/>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5 4" xfId="2303"/>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Accent6 4" xfId="2307"/>
    <cellStyle name="Bad" xfId="39" builtinId="27" customBuiltin="1"/>
    <cellStyle name="Bad 2" xfId="102"/>
    <cellStyle name="Bad 2 2" xfId="566"/>
    <cellStyle name="Bad 2 3" xfId="725"/>
    <cellStyle name="Bad 2 4" xfId="811"/>
    <cellStyle name="Bad 2 5" xfId="258"/>
    <cellStyle name="Bad 3" xfId="167"/>
    <cellStyle name="Bad 3 2" xfId="378"/>
    <cellStyle name="Bad 4" xfId="2277"/>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alculation 6" xfId="2281"/>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heck Cell 4" xfId="2283"/>
    <cellStyle name="Comma" xfId="1" builtinId="3"/>
    <cellStyle name="Comma [0] 2" xfId="105"/>
    <cellStyle name="Comma [0] 3" xfId="106"/>
    <cellStyle name="Comma 10" xfId="107"/>
    <cellStyle name="Comma 11" xfId="108"/>
    <cellStyle name="Comma 12" xfId="424"/>
    <cellStyle name="Comma 12 2" xfId="2893"/>
    <cellStyle name="Comma 13" xfId="425"/>
    <cellStyle name="Comma 13 2" xfId="2894"/>
    <cellStyle name="Comma 14" xfId="322"/>
    <cellStyle name="Comma 14 2" xfId="469"/>
    <cellStyle name="Comma 14 2 2" xfId="2895"/>
    <cellStyle name="Comma 15" xfId="426"/>
    <cellStyle name="Comma 15 2" xfId="470"/>
    <cellStyle name="Comma 15 2 2" xfId="2896"/>
    <cellStyle name="Comma 16" xfId="471"/>
    <cellStyle name="Comma 16 2" xfId="2897"/>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 6 2" xfId="2898"/>
    <cellStyle name="Comma 20" xfId="756"/>
    <cellStyle name="Comma 21" xfId="766"/>
    <cellStyle name="Comma 22" xfId="770"/>
    <cellStyle name="Comma 23" xfId="1114"/>
    <cellStyle name="Comma 24" xfId="1111"/>
    <cellStyle name="Comma 25" xfId="1112"/>
    <cellStyle name="Comma 26" xfId="1124"/>
    <cellStyle name="Comma 26 2" xfId="1826"/>
    <cellStyle name="Comma 26 2 2" xfId="2357"/>
    <cellStyle name="Comma 26 2 2 2" xfId="2577"/>
    <cellStyle name="Comma 26 2 2 2 2" xfId="3241"/>
    <cellStyle name="Comma 26 2 2 3" xfId="2779"/>
    <cellStyle name="Comma 26 2 2 3 2" xfId="3443"/>
    <cellStyle name="Comma 26 2 2 4" xfId="3039"/>
    <cellStyle name="Comma 26 2 3" xfId="2451"/>
    <cellStyle name="Comma 26 2 3 2" xfId="2653"/>
    <cellStyle name="Comma 26 2 3 2 2" xfId="3317"/>
    <cellStyle name="Comma 26 2 3 3" xfId="2855"/>
    <cellStyle name="Comma 26 2 3 3 2" xfId="3519"/>
    <cellStyle name="Comma 26 2 3 4" xfId="3115"/>
    <cellStyle name="Comma 26 2 4" xfId="2499"/>
    <cellStyle name="Comma 26 2 4 2" xfId="3163"/>
    <cellStyle name="Comma 26 2 5" xfId="2701"/>
    <cellStyle name="Comma 26 2 5 2" xfId="3365"/>
    <cellStyle name="Comma 26 2 6" xfId="2900"/>
    <cellStyle name="Comma 26 2 7" xfId="2949"/>
    <cellStyle name="Comma 26 3" xfId="2354"/>
    <cellStyle name="Comma 26 3 2" xfId="2574"/>
    <cellStyle name="Comma 26 3 2 2" xfId="3238"/>
    <cellStyle name="Comma 26 3 3" xfId="2776"/>
    <cellStyle name="Comma 26 3 3 2" xfId="3440"/>
    <cellStyle name="Comma 26 3 4" xfId="3036"/>
    <cellStyle name="Comma 26 4" xfId="2448"/>
    <cellStyle name="Comma 26 4 2" xfId="2650"/>
    <cellStyle name="Comma 26 4 2 2" xfId="3314"/>
    <cellStyle name="Comma 26 4 3" xfId="2852"/>
    <cellStyle name="Comma 26 4 3 2" xfId="3516"/>
    <cellStyle name="Comma 26 4 4" xfId="3112"/>
    <cellStyle name="Comma 26 5" xfId="2496"/>
    <cellStyle name="Comma 26 5 2" xfId="3160"/>
    <cellStyle name="Comma 26 6" xfId="2698"/>
    <cellStyle name="Comma 26 6 2" xfId="3362"/>
    <cellStyle name="Comma 26 7" xfId="2899"/>
    <cellStyle name="Comma 26 8" xfId="2947"/>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35 2" xfId="2901"/>
    <cellStyle name="Comma 36" xfId="2270"/>
    <cellStyle name="Comma 37" xfId="2374"/>
    <cellStyle name="Comma 38" xfId="2375"/>
    <cellStyle name="Comma 39" xfId="2384"/>
    <cellStyle name="Comma 4" xfId="27"/>
    <cellStyle name="Comma 4 2" xfId="31"/>
    <cellStyle name="Comma 4 2 2" xfId="346"/>
    <cellStyle name="Comma 4 3" xfId="342"/>
    <cellStyle name="Comma 40" xfId="2382"/>
    <cellStyle name="Comma 41" xfId="2387"/>
    <cellStyle name="Comma 42" xfId="2379"/>
    <cellStyle name="Comma 43" xfId="2383"/>
    <cellStyle name="Comma 44" xfId="2389"/>
    <cellStyle name="Comma 45" xfId="2380"/>
    <cellStyle name="Comma 46" xfId="2390"/>
    <cellStyle name="Comma 47" xfId="2385"/>
    <cellStyle name="Comma 48" xfId="2386"/>
    <cellStyle name="Comma 49" xfId="2376"/>
    <cellStyle name="Comma 5" xfId="113"/>
    <cellStyle name="Comma 50" xfId="2388"/>
    <cellStyle name="Comma 51" xfId="2381"/>
    <cellStyle name="Comma 52" xfId="2377"/>
    <cellStyle name="Comma 53" xfId="2378"/>
    <cellStyle name="Comma 54" xfId="2268"/>
    <cellStyle name="Comma 54 2" xfId="2530"/>
    <cellStyle name="Comma 54 2 2" xfId="3194"/>
    <cellStyle name="Comma 54 3" xfId="2732"/>
    <cellStyle name="Comma 54 3 2" xfId="3396"/>
    <cellStyle name="Comma 54 4" xfId="2980"/>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2 4 2" xfId="290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Currency 7" xfId="2359"/>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Explanatory Text 4" xfId="2285"/>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Good 4" xfId="2276"/>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1 4" xfId="2272"/>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2 4" xfId="2273"/>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3 4" xfId="2274"/>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eading 4 4" xfId="2275"/>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Input 6" xfId="2279"/>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Linked Cell 4" xfId="2282"/>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eutral 4" xfId="2278"/>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2 2" xfId="2339"/>
    <cellStyle name="Normal 12 2 2 2" xfId="2559"/>
    <cellStyle name="Normal 12 2 2 2 2" xfId="3223"/>
    <cellStyle name="Normal 12 2 2 3" xfId="2761"/>
    <cellStyle name="Normal 12 2 2 3 2" xfId="3425"/>
    <cellStyle name="Normal 12 2 2 4" xfId="3021"/>
    <cellStyle name="Normal 12 2 3" xfId="2433"/>
    <cellStyle name="Normal 12 2 3 2" xfId="2635"/>
    <cellStyle name="Normal 12 2 3 2 2" xfId="3299"/>
    <cellStyle name="Normal 12 2 3 3" xfId="2837"/>
    <cellStyle name="Normal 12 2 3 3 2" xfId="3501"/>
    <cellStyle name="Normal 12 2 3 4" xfId="3097"/>
    <cellStyle name="Normal 12 2 4" xfId="2481"/>
    <cellStyle name="Normal 12 2 4 2" xfId="3145"/>
    <cellStyle name="Normal 12 2 5" xfId="2683"/>
    <cellStyle name="Normal 12 2 5 2" xfId="3347"/>
    <cellStyle name="Normal 12 2 6" xfId="2904"/>
    <cellStyle name="Normal 12 3" xfId="279"/>
    <cellStyle name="Normal 12 4" xfId="2311"/>
    <cellStyle name="Normal 12 4 2" xfId="2531"/>
    <cellStyle name="Normal 12 4 2 2" xfId="3195"/>
    <cellStyle name="Normal 12 4 3" xfId="2733"/>
    <cellStyle name="Normal 12 4 3 2" xfId="3397"/>
    <cellStyle name="Normal 12 4 4" xfId="2993"/>
    <cellStyle name="Normal 12 5" xfId="2405"/>
    <cellStyle name="Normal 12 5 2" xfId="2607"/>
    <cellStyle name="Normal 12 5 2 2" xfId="3271"/>
    <cellStyle name="Normal 12 5 3" xfId="2809"/>
    <cellStyle name="Normal 12 5 3 2" xfId="3473"/>
    <cellStyle name="Normal 12 5 4" xfId="3069"/>
    <cellStyle name="Normal 12 6" xfId="2453"/>
    <cellStyle name="Normal 12 6 2" xfId="3117"/>
    <cellStyle name="Normal 12 7" xfId="2655"/>
    <cellStyle name="Normal 12 7 2" xfId="3319"/>
    <cellStyle name="Normal 12 8" xfId="2903"/>
    <cellStyle name="Normal 13" xfId="202"/>
    <cellStyle name="Normal 13 2" xfId="463"/>
    <cellStyle name="Normal 13 3" xfId="321"/>
    <cellStyle name="Normal 13 4" xfId="2325"/>
    <cellStyle name="Normal 13 4 2" xfId="2545"/>
    <cellStyle name="Normal 13 4 2 2" xfId="3209"/>
    <cellStyle name="Normal 13 4 3" xfId="2747"/>
    <cellStyle name="Normal 13 4 3 2" xfId="3411"/>
    <cellStyle name="Normal 13 4 4" xfId="3007"/>
    <cellStyle name="Normal 13 5" xfId="2419"/>
    <cellStyle name="Normal 13 5 2" xfId="2621"/>
    <cellStyle name="Normal 13 5 2 2" xfId="3285"/>
    <cellStyle name="Normal 13 5 3" xfId="2823"/>
    <cellStyle name="Normal 13 5 3 2" xfId="3487"/>
    <cellStyle name="Normal 13 5 4" xfId="3083"/>
    <cellStyle name="Normal 13 6" xfId="2467"/>
    <cellStyle name="Normal 13 6 2" xfId="3131"/>
    <cellStyle name="Normal 13 7" xfId="2669"/>
    <cellStyle name="Normal 13 7 2" xfId="3333"/>
    <cellStyle name="Normal 13 8" xfId="2905"/>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7 2 2" xfId="2356"/>
    <cellStyle name="Normal 17 2 2 2" xfId="2576"/>
    <cellStyle name="Normal 17 2 2 2 2" xfId="3240"/>
    <cellStyle name="Normal 17 2 2 3" xfId="2778"/>
    <cellStyle name="Normal 17 2 2 3 2" xfId="3442"/>
    <cellStyle name="Normal 17 2 2 4" xfId="3038"/>
    <cellStyle name="Normal 17 2 3" xfId="2450"/>
    <cellStyle name="Normal 17 2 3 2" xfId="2652"/>
    <cellStyle name="Normal 17 2 3 2 2" xfId="3316"/>
    <cellStyle name="Normal 17 2 3 3" xfId="2854"/>
    <cellStyle name="Normal 17 2 3 3 2" xfId="3518"/>
    <cellStyle name="Normal 17 2 3 4" xfId="3114"/>
    <cellStyle name="Normal 17 2 4" xfId="2498"/>
    <cellStyle name="Normal 17 2 4 2" xfId="3162"/>
    <cellStyle name="Normal 17 2 5" xfId="2700"/>
    <cellStyle name="Normal 17 2 5 2" xfId="3364"/>
    <cellStyle name="Normal 17 2 6" xfId="2907"/>
    <cellStyle name="Normal 17 3" xfId="2353"/>
    <cellStyle name="Normal 17 3 2" xfId="2573"/>
    <cellStyle name="Normal 17 3 2 2" xfId="3237"/>
    <cellStyle name="Normal 17 3 3" xfId="2775"/>
    <cellStyle name="Normal 17 3 3 2" xfId="3439"/>
    <cellStyle name="Normal 17 3 4" xfId="3035"/>
    <cellStyle name="Normal 17 4" xfId="2447"/>
    <cellStyle name="Normal 17 4 2" xfId="2649"/>
    <cellStyle name="Normal 17 4 2 2" xfId="3313"/>
    <cellStyle name="Normal 17 4 3" xfId="2851"/>
    <cellStyle name="Normal 17 4 3 2" xfId="3515"/>
    <cellStyle name="Normal 17 4 4" xfId="3111"/>
    <cellStyle name="Normal 17 5" xfId="2495"/>
    <cellStyle name="Normal 17 5 2" xfId="3159"/>
    <cellStyle name="Normal 17 6" xfId="2697"/>
    <cellStyle name="Normal 17 6 2" xfId="3361"/>
    <cellStyle name="Normal 17 7" xfId="2906"/>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20 2" xfId="2360"/>
    <cellStyle name="Normal 20 2 2" xfId="2579"/>
    <cellStyle name="Normal 20 2 2 2" xfId="3243"/>
    <cellStyle name="Normal 20 2 3" xfId="2781"/>
    <cellStyle name="Normal 20 2 3 2" xfId="3445"/>
    <cellStyle name="Normal 20 2 4" xfId="3041"/>
    <cellStyle name="Normal 20 3" xfId="2501"/>
    <cellStyle name="Normal 20 3 2" xfId="3165"/>
    <cellStyle name="Normal 20 4" xfId="2703"/>
    <cellStyle name="Normal 20 4 2" xfId="3367"/>
    <cellStyle name="Normal 20 5" xfId="2951"/>
    <cellStyle name="Normal 21" xfId="2253"/>
    <cellStyle name="Normal 21 2" xfId="2391"/>
    <cellStyle name="Normal 21 2 2" xfId="2593"/>
    <cellStyle name="Normal 21 2 2 2" xfId="3257"/>
    <cellStyle name="Normal 21 2 3" xfId="2795"/>
    <cellStyle name="Normal 21 2 3 2" xfId="3459"/>
    <cellStyle name="Normal 21 2 4" xfId="3055"/>
    <cellStyle name="Normal 21 3" xfId="2269"/>
    <cellStyle name="Normal 21 4" xfId="2515"/>
    <cellStyle name="Normal 21 4 2" xfId="3179"/>
    <cellStyle name="Normal 21 5" xfId="2717"/>
    <cellStyle name="Normal 21 5 2" xfId="3381"/>
    <cellStyle name="Normal 21 6" xfId="2965"/>
    <cellStyle name="Normal 22" xfId="2267"/>
    <cellStyle name="Normal 22 2" xfId="2529"/>
    <cellStyle name="Normal 22 2 2" xfId="3193"/>
    <cellStyle name="Normal 22 3" xfId="2731"/>
    <cellStyle name="Normal 22 3 2" xfId="3395"/>
    <cellStyle name="Normal 22 4" xfId="2979"/>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2 2" xfId="2930"/>
    <cellStyle name="Normal 7 2 3" xfId="3535"/>
    <cellStyle name="Normal 7 2 4" xfId="3575"/>
    <cellStyle name="Normal 7 3" xfId="593"/>
    <cellStyle name="Normal 7 4" xfId="752"/>
    <cellStyle name="Normal 7 5" xfId="838"/>
    <cellStyle name="Normal 7 6" xfId="307"/>
    <cellStyle name="Normal 7 7" xfId="2928"/>
    <cellStyle name="Normal 7 8" xfId="3533"/>
    <cellStyle name="Normal 7 9" xfId="3573"/>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17" xfId="2908"/>
    <cellStyle name="Note 2 18" xfId="2929"/>
    <cellStyle name="Note 2 19" xfId="3534"/>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20" xfId="3574"/>
    <cellStyle name="Note 2 3" xfId="142"/>
    <cellStyle name="Note 2 3 2" xfId="2909"/>
    <cellStyle name="Note 2 3 3" xfId="2931"/>
    <cellStyle name="Note 2 3 4" xfId="3536"/>
    <cellStyle name="Note 2 3 5" xfId="3576"/>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10" xfId="2932"/>
    <cellStyle name="Note 6 2" xfId="217"/>
    <cellStyle name="Note 6 2 2" xfId="1820"/>
    <cellStyle name="Note 6 2 3" xfId="2340"/>
    <cellStyle name="Note 6 2 3 2" xfId="2560"/>
    <cellStyle name="Note 6 2 3 2 2" xfId="3224"/>
    <cellStyle name="Note 6 2 3 3" xfId="2762"/>
    <cellStyle name="Note 6 2 3 3 2" xfId="3426"/>
    <cellStyle name="Note 6 2 3 4" xfId="3022"/>
    <cellStyle name="Note 6 2 4" xfId="2434"/>
    <cellStyle name="Note 6 2 4 2" xfId="2636"/>
    <cellStyle name="Note 6 2 4 2 2" xfId="3300"/>
    <cellStyle name="Note 6 2 4 3" xfId="2838"/>
    <cellStyle name="Note 6 2 4 3 2" xfId="3502"/>
    <cellStyle name="Note 6 2 4 4" xfId="3098"/>
    <cellStyle name="Note 6 2 5" xfId="2482"/>
    <cellStyle name="Note 6 2 5 2" xfId="3146"/>
    <cellStyle name="Note 6 2 6" xfId="2684"/>
    <cellStyle name="Note 6 2 6 2" xfId="3348"/>
    <cellStyle name="Note 6 2 7" xfId="2911"/>
    <cellStyle name="Note 6 2 8" xfId="2934"/>
    <cellStyle name="Note 6 3" xfId="2236"/>
    <cellStyle name="Note 6 4" xfId="1116"/>
    <cellStyle name="Note 6 5" xfId="2312"/>
    <cellStyle name="Note 6 5 2" xfId="2532"/>
    <cellStyle name="Note 6 5 2 2" xfId="3196"/>
    <cellStyle name="Note 6 5 3" xfId="2734"/>
    <cellStyle name="Note 6 5 3 2" xfId="3398"/>
    <cellStyle name="Note 6 5 4" xfId="2994"/>
    <cellStyle name="Note 6 6" xfId="2406"/>
    <cellStyle name="Note 6 6 2" xfId="2608"/>
    <cellStyle name="Note 6 6 2 2" xfId="3272"/>
    <cellStyle name="Note 6 6 3" xfId="2810"/>
    <cellStyle name="Note 6 6 3 2" xfId="3474"/>
    <cellStyle name="Note 6 6 4" xfId="3070"/>
    <cellStyle name="Note 6 7" xfId="2454"/>
    <cellStyle name="Note 6 7 2" xfId="3118"/>
    <cellStyle name="Note 6 8" xfId="2656"/>
    <cellStyle name="Note 6 8 2" xfId="3320"/>
    <cellStyle name="Note 6 9" xfId="2910"/>
    <cellStyle name="Note 7" xfId="203"/>
    <cellStyle name="Note 7 2" xfId="1156"/>
    <cellStyle name="Note 7 3" xfId="2326"/>
    <cellStyle name="Note 7 3 2" xfId="2546"/>
    <cellStyle name="Note 7 3 2 2" xfId="3210"/>
    <cellStyle name="Note 7 3 3" xfId="2748"/>
    <cellStyle name="Note 7 3 3 2" xfId="3412"/>
    <cellStyle name="Note 7 3 4" xfId="3008"/>
    <cellStyle name="Note 7 4" xfId="2420"/>
    <cellStyle name="Note 7 4 2" xfId="2622"/>
    <cellStyle name="Note 7 4 2 2" xfId="3286"/>
    <cellStyle name="Note 7 4 3" xfId="2824"/>
    <cellStyle name="Note 7 4 3 2" xfId="3488"/>
    <cellStyle name="Note 7 4 4" xfId="3084"/>
    <cellStyle name="Note 7 5" xfId="2468"/>
    <cellStyle name="Note 7 5 2" xfId="3132"/>
    <cellStyle name="Note 7 6" xfId="2670"/>
    <cellStyle name="Note 7 6 2" xfId="3334"/>
    <cellStyle name="Note 7 7" xfId="2912"/>
    <cellStyle name="Note 7 8" xfId="2933"/>
    <cellStyle name="Note 8" xfId="2240"/>
    <cellStyle name="Note 8 2" xfId="2361"/>
    <cellStyle name="Note 8 2 2" xfId="2580"/>
    <cellStyle name="Note 8 2 2 2" xfId="3244"/>
    <cellStyle name="Note 8 2 3" xfId="2782"/>
    <cellStyle name="Note 8 2 3 2" xfId="3446"/>
    <cellStyle name="Note 8 2 4" xfId="3042"/>
    <cellStyle name="Note 8 3" xfId="2502"/>
    <cellStyle name="Note 8 3 2" xfId="3166"/>
    <cellStyle name="Note 8 4" xfId="2704"/>
    <cellStyle name="Note 8 4 2" xfId="3368"/>
    <cellStyle name="Note 8 5" xfId="2952"/>
    <cellStyle name="Note 9" xfId="2254"/>
    <cellStyle name="Note 9 2" xfId="2392"/>
    <cellStyle name="Note 9 2 2" xfId="2594"/>
    <cellStyle name="Note 9 2 2 2" xfId="3258"/>
    <cellStyle name="Note 9 2 3" xfId="2796"/>
    <cellStyle name="Note 9 2 3 2" xfId="3460"/>
    <cellStyle name="Note 9 2 4" xfId="3056"/>
    <cellStyle name="Note 9 3" xfId="2516"/>
    <cellStyle name="Note 9 3 2" xfId="3180"/>
    <cellStyle name="Note 9 4" xfId="2718"/>
    <cellStyle name="Note 9 4 2" xfId="3382"/>
    <cellStyle name="Note 9 5" xfId="2966"/>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Output 6" xfId="2280"/>
    <cellStyle name="Percent" xfId="7" builtinId="5"/>
    <cellStyle name="Percent 10" xfId="2271"/>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2 5 2" xfId="2913"/>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Percent 9 2 2" xfId="2358"/>
    <cellStyle name="Percent 9 2 2 2" xfId="2578"/>
    <cellStyle name="Percent 9 2 2 2 2" xfId="3242"/>
    <cellStyle name="Percent 9 2 2 3" xfId="2780"/>
    <cellStyle name="Percent 9 2 2 3 2" xfId="3444"/>
    <cellStyle name="Percent 9 2 2 4" xfId="3040"/>
    <cellStyle name="Percent 9 2 3" xfId="2452"/>
    <cellStyle name="Percent 9 2 3 2" xfId="2654"/>
    <cellStyle name="Percent 9 2 3 2 2" xfId="3318"/>
    <cellStyle name="Percent 9 2 3 3" xfId="2856"/>
    <cellStyle name="Percent 9 2 3 3 2" xfId="3520"/>
    <cellStyle name="Percent 9 2 3 4" xfId="3116"/>
    <cellStyle name="Percent 9 2 4" xfId="2500"/>
    <cellStyle name="Percent 9 2 4 2" xfId="3164"/>
    <cellStyle name="Percent 9 2 5" xfId="2702"/>
    <cellStyle name="Percent 9 2 5 2" xfId="3366"/>
    <cellStyle name="Percent 9 2 6" xfId="2915"/>
    <cellStyle name="Percent 9 2 7" xfId="2950"/>
    <cellStyle name="Percent 9 3" xfId="2355"/>
    <cellStyle name="Percent 9 3 2" xfId="2575"/>
    <cellStyle name="Percent 9 3 2 2" xfId="3239"/>
    <cellStyle name="Percent 9 3 3" xfId="2777"/>
    <cellStyle name="Percent 9 3 3 2" xfId="3441"/>
    <cellStyle name="Percent 9 3 4" xfId="3037"/>
    <cellStyle name="Percent 9 4" xfId="2449"/>
    <cellStyle name="Percent 9 4 2" xfId="2651"/>
    <cellStyle name="Percent 9 4 2 2" xfId="3315"/>
    <cellStyle name="Percent 9 4 3" xfId="2853"/>
    <cellStyle name="Percent 9 4 3 2" xfId="3517"/>
    <cellStyle name="Percent 9 4 4" xfId="3113"/>
    <cellStyle name="Percent 9 5" xfId="2497"/>
    <cellStyle name="Percent 9 5 2" xfId="3161"/>
    <cellStyle name="Percent 9 6" xfId="2699"/>
    <cellStyle name="Percent 9 6 2" xfId="3363"/>
    <cellStyle name="Percent 9 7" xfId="2914"/>
    <cellStyle name="Percent 9 8" xfId="2948"/>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Total 6" xfId="2286"/>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 name="Warning Text 4" xfId="2284"/>
  </cellStyles>
  <dxfs count="7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2</xdr:col>
      <xdr:colOff>10582</xdr:colOff>
      <xdr:row>3</xdr:row>
      <xdr:rowOff>155576</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50</xdr:col>
      <xdr:colOff>0</xdr:colOff>
      <xdr:row>35</xdr:row>
      <xdr:rowOff>0</xdr:rowOff>
    </xdr:from>
    <xdr:to>
      <xdr:col>54</xdr:col>
      <xdr:colOff>85725</xdr:colOff>
      <xdr:row>36</xdr:row>
      <xdr:rowOff>0</xdr:rowOff>
    </xdr:to>
    <xdr:pic>
      <xdr:nvPicPr>
        <xdr:cNvPr id="3"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50</xdr:col>
      <xdr:colOff>0</xdr:colOff>
      <xdr:row>35</xdr:row>
      <xdr:rowOff>0</xdr:rowOff>
    </xdr:from>
    <xdr:to>
      <xdr:col>54</xdr:col>
      <xdr:colOff>85725</xdr:colOff>
      <xdr:row>36</xdr:row>
      <xdr:rowOff>0</xdr:rowOff>
    </xdr:to>
    <xdr:pic>
      <xdr:nvPicPr>
        <xdr:cNvPr id="7"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2" name="Picture 1"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2857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130969</xdr:colOff>
      <xdr:row>0</xdr:row>
      <xdr:rowOff>119063</xdr:rowOff>
    </xdr:from>
    <xdr:to>
      <xdr:col>1</xdr:col>
      <xdr:colOff>2809875</xdr:colOff>
      <xdr:row>3</xdr:row>
      <xdr:rowOff>92075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119063"/>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2514600</xdr:colOff>
      <xdr:row>4</xdr:row>
      <xdr:rowOff>7408</xdr:rowOff>
    </xdr:to>
    <xdr:pic>
      <xdr:nvPicPr>
        <xdr:cNvPr id="2" name="Picture 47"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318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2</xdr:col>
      <xdr:colOff>154781</xdr:colOff>
      <xdr:row>3</xdr:row>
      <xdr:rowOff>96838</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507206</xdr:colOff>
      <xdr:row>3</xdr:row>
      <xdr:rowOff>111125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2517775</xdr:colOff>
      <xdr:row>3</xdr:row>
      <xdr:rowOff>123825</xdr:rowOff>
    </xdr:to>
    <xdr:pic>
      <xdr:nvPicPr>
        <xdr:cNvPr id="29697" name="Picture 48"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53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1</xdr:col>
      <xdr:colOff>2514600</xdr:colOff>
      <xdr:row>4</xdr:row>
      <xdr:rowOff>0</xdr:rowOff>
    </xdr:to>
    <xdr:pic>
      <xdr:nvPicPr>
        <xdr:cNvPr id="2" name="Picture 49" descr="CCRD_FIN_BW300"/>
        <xdr:cNvPicPr>
          <a:picLocks noChangeAspect="1" noChangeArrowheads="1"/>
        </xdr:cNvPicPr>
      </xdr:nvPicPr>
      <xdr:blipFill>
        <a:blip xmlns:r="http://schemas.openxmlformats.org/officeDocument/2006/relationships" r:embed="rId1"/>
        <a:srcRect/>
        <a:stretch>
          <a:fillRect/>
        </a:stretch>
      </xdr:blipFill>
      <xdr:spPr bwMode="auto">
        <a:xfrm>
          <a:off x="142875" y="152400"/>
          <a:ext cx="2552700" cy="4953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xdr:col>
      <xdr:colOff>2514600</xdr:colOff>
      <xdr:row>3</xdr:row>
      <xdr:rowOff>114300</xdr:rowOff>
    </xdr:to>
    <xdr:pic>
      <xdr:nvPicPr>
        <xdr:cNvPr id="31745" name="Picture 49"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04775"/>
          <a:ext cx="2552700" cy="4953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90"/>
  <sheetViews>
    <sheetView tabSelected="1" zoomScaleNormal="100" workbookViewId="0">
      <selection activeCell="G36" sqref="G36"/>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8"/>
    </row>
    <row r="5" spans="2:21" x14ac:dyDescent="0.2">
      <c r="I5" t="s">
        <v>44</v>
      </c>
    </row>
    <row r="6" spans="2:21" x14ac:dyDescent="0.2">
      <c r="C6" s="49"/>
    </row>
    <row r="13" spans="2:21" ht="28.5" customHeight="1" x14ac:dyDescent="0.4">
      <c r="D13" s="842"/>
      <c r="E13" s="843" t="s">
        <v>361</v>
      </c>
      <c r="F13" s="842"/>
      <c r="G13" s="842"/>
    </row>
    <row r="14" spans="2:21" x14ac:dyDescent="0.2">
      <c r="T14" s="61"/>
      <c r="U14" s="61"/>
    </row>
    <row r="15" spans="2:21" x14ac:dyDescent="0.2">
      <c r="T15" s="61"/>
      <c r="U15" s="61"/>
    </row>
    <row r="16" spans="2:21" ht="25.5" customHeight="1" x14ac:dyDescent="0.35">
      <c r="B16" s="2437" t="s">
        <v>45</v>
      </c>
      <c r="C16" s="2436"/>
      <c r="D16" s="2436"/>
      <c r="E16" s="2436"/>
      <c r="F16" s="2436"/>
      <c r="G16" s="2436"/>
      <c r="H16" s="2436"/>
      <c r="T16" s="61"/>
      <c r="U16" s="61"/>
    </row>
    <row r="17" spans="1:50" x14ac:dyDescent="0.2">
      <c r="T17" s="61"/>
      <c r="U17" s="61"/>
    </row>
    <row r="18" spans="1:50" ht="20.25" x14ac:dyDescent="0.3">
      <c r="E18" s="52" t="s">
        <v>450</v>
      </c>
      <c r="T18" s="61"/>
      <c r="U18" s="61"/>
    </row>
    <row r="19" spans="1:50" ht="18" customHeight="1" x14ac:dyDescent="0.2">
      <c r="B19" t="s">
        <v>44</v>
      </c>
      <c r="D19" s="53"/>
      <c r="E19" s="468" t="s">
        <v>451</v>
      </c>
      <c r="F19" s="53"/>
      <c r="T19" s="61"/>
      <c r="U19" s="61"/>
    </row>
    <row r="20" spans="1:50" x14ac:dyDescent="0.2">
      <c r="E20" s="54"/>
      <c r="T20" s="61"/>
      <c r="U20" s="61"/>
    </row>
    <row r="21" spans="1:50" x14ac:dyDescent="0.2">
      <c r="E21" s="55" t="s">
        <v>46</v>
      </c>
      <c r="T21" s="61"/>
      <c r="U21" s="61"/>
    </row>
    <row r="22" spans="1:50" x14ac:dyDescent="0.2">
      <c r="T22" s="61"/>
      <c r="U22" s="61"/>
    </row>
    <row r="23" spans="1:50" ht="29.25" customHeight="1" x14ac:dyDescent="0.35">
      <c r="E23" s="264"/>
      <c r="T23" s="61"/>
      <c r="U23" s="61"/>
    </row>
    <row r="24" spans="1:50" ht="23.25" customHeight="1" x14ac:dyDescent="0.3">
      <c r="B24" s="2435" t="s">
        <v>47</v>
      </c>
      <c r="C24" s="2436"/>
      <c r="D24" s="2436"/>
      <c r="E24" s="2436"/>
      <c r="F24" s="2436"/>
      <c r="G24" s="2436"/>
      <c r="H24" s="2436"/>
      <c r="T24" s="61"/>
      <c r="U24" s="61"/>
    </row>
    <row r="25" spans="1:50" s="485" customFormat="1" ht="23.25" customHeight="1" x14ac:dyDescent="0.3">
      <c r="B25" s="852"/>
      <c r="C25" s="853"/>
      <c r="D25" s="853"/>
      <c r="E25" s="853"/>
      <c r="F25" s="853"/>
      <c r="G25" s="853"/>
      <c r="H25" s="853"/>
      <c r="T25" s="61"/>
      <c r="U25" s="61"/>
    </row>
    <row r="27" spans="1:50" x14ac:dyDescent="0.2">
      <c r="E27" s="855" t="s">
        <v>48</v>
      </c>
    </row>
    <row r="28" spans="1:50" x14ac:dyDescent="0.2">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X28">
        <v>0</v>
      </c>
    </row>
    <row r="29" spans="1:50" ht="12.75" customHeight="1" x14ac:dyDescent="0.2">
      <c r="A29" s="437"/>
      <c r="B29" s="61" t="s">
        <v>322</v>
      </c>
      <c r="C29" s="61"/>
      <c r="D29" s="65"/>
      <c r="E29" s="188" t="s">
        <v>323</v>
      </c>
      <c r="F29" s="835"/>
      <c r="G29" s="61"/>
      <c r="H29" s="61"/>
      <c r="I29" s="65" t="s">
        <v>324</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X29">
        <v>0</v>
      </c>
    </row>
    <row r="30" spans="1:50" s="485" customFormat="1" ht="12.75" customHeight="1" x14ac:dyDescent="0.2">
      <c r="A30" s="437"/>
      <c r="B30" s="61"/>
      <c r="C30" s="61"/>
      <c r="D30" s="65"/>
      <c r="E30" s="836"/>
      <c r="F30" s="851"/>
      <c r="G30" s="61"/>
      <c r="H30" s="61"/>
      <c r="I30" s="65"/>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50" ht="12.75" customHeight="1" x14ac:dyDescent="0.2">
      <c r="B31" s="61" t="s">
        <v>377</v>
      </c>
      <c r="C31" s="851"/>
      <c r="D31" s="851"/>
      <c r="E31" s="854" t="s">
        <v>378</v>
      </c>
      <c r="F31" s="836"/>
      <c r="G31" s="56"/>
      <c r="H31" s="61"/>
      <c r="I31" s="844" t="s">
        <v>379</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50" x14ac:dyDescent="0.2">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2:50" x14ac:dyDescent="0.2">
      <c r="D33" s="3"/>
      <c r="E33" s="57"/>
      <c r="F33" s="3"/>
      <c r="G33" s="3"/>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row>
    <row r="34" spans="2:50" x14ac:dyDescent="0.2">
      <c r="D34" s="2"/>
      <c r="E34" s="58"/>
      <c r="F34" s="2"/>
      <c r="G34" s="3"/>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row>
    <row r="35" spans="2:50" x14ac:dyDescent="0.2">
      <c r="D35" s="3"/>
      <c r="E35" s="59"/>
      <c r="F35" s="3"/>
      <c r="G35" s="3"/>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2:50" x14ac:dyDescent="0.2">
      <c r="D36" s="3"/>
      <c r="E36" s="60"/>
      <c r="F36" s="3"/>
      <c r="G36" s="3"/>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X36" t="s">
        <v>42</v>
      </c>
    </row>
    <row r="37" spans="2:50" x14ac:dyDescent="0.2">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X37" s="485"/>
    </row>
    <row r="38" spans="2:50" x14ac:dyDescent="0.2">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2:50" x14ac:dyDescent="0.2">
      <c r="G39" t="s">
        <v>44</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2:50" x14ac:dyDescent="0.2">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2:50" x14ac:dyDescent="0.2">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2:50" x14ac:dyDescent="0.2">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2:50" x14ac:dyDescent="0.2">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2:50" x14ac:dyDescent="0.2">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2:50" x14ac:dyDescent="0.2">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2:50" x14ac:dyDescent="0.2">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2:50" ht="14.25" x14ac:dyDescent="0.2">
      <c r="B47" s="80"/>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2:50" x14ac:dyDescent="0.2">
      <c r="B48" s="412"/>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row>
    <row r="49" spans="1:47" x14ac:dyDescent="0.2">
      <c r="B49" s="412"/>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x14ac:dyDescent="0.2">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row>
    <row r="53" spans="1:47" x14ac:dyDescent="0.2">
      <c r="I53" s="61"/>
      <c r="J53" s="61"/>
      <c r="K53" s="61"/>
    </row>
    <row r="54" spans="1:47" x14ac:dyDescent="0.2">
      <c r="I54" s="61"/>
      <c r="J54" s="61"/>
      <c r="K54" s="61"/>
    </row>
    <row r="55" spans="1:47" x14ac:dyDescent="0.2">
      <c r="I55" s="61"/>
      <c r="J55" s="61"/>
      <c r="K55" s="61"/>
    </row>
    <row r="56" spans="1:47" x14ac:dyDescent="0.2">
      <c r="A56" s="44"/>
      <c r="I56" s="61"/>
      <c r="J56" s="61"/>
      <c r="K56" s="61"/>
      <c r="M56" s="62"/>
      <c r="AA56" s="61"/>
      <c r="AG56" s="62"/>
    </row>
    <row r="57" spans="1:47" x14ac:dyDescent="0.2">
      <c r="A57" s="63"/>
      <c r="B57" s="64"/>
      <c r="C57" s="64"/>
      <c r="D57" s="64"/>
      <c r="E57" s="64"/>
      <c r="F57" s="64"/>
      <c r="G57" s="64"/>
      <c r="H57" s="64"/>
      <c r="I57" s="65"/>
      <c r="J57" s="65"/>
      <c r="K57" s="65"/>
      <c r="L57" s="64"/>
      <c r="M57" s="64"/>
      <c r="N57" s="64"/>
      <c r="O57" s="64"/>
      <c r="P57" s="64"/>
      <c r="Q57" s="64"/>
      <c r="R57" s="64"/>
      <c r="S57" s="64"/>
      <c r="T57" s="64"/>
      <c r="U57" s="64"/>
      <c r="V57" s="64"/>
      <c r="W57" s="64"/>
      <c r="X57" s="64"/>
      <c r="AA57" s="61"/>
    </row>
    <row r="58" spans="1:47" x14ac:dyDescent="0.2">
      <c r="I58" s="61"/>
      <c r="J58" s="61"/>
      <c r="K58" s="61"/>
      <c r="AA58" s="61"/>
    </row>
    <row r="59" spans="1:47" x14ac:dyDescent="0.2">
      <c r="I59" s="61"/>
      <c r="J59" s="61"/>
      <c r="K59" s="61"/>
    </row>
    <row r="63" spans="1:47" x14ac:dyDescent="0.2">
      <c r="T63" s="66"/>
      <c r="AH63" s="66"/>
    </row>
    <row r="74" spans="49:49" x14ac:dyDescent="0.2">
      <c r="AW74" s="350"/>
    </row>
    <row r="75" spans="49:49" x14ac:dyDescent="0.2">
      <c r="AW75" s="350"/>
    </row>
    <row r="83" spans="8:8" x14ac:dyDescent="0.2">
      <c r="H83" s="61"/>
    </row>
    <row r="84" spans="8:8" x14ac:dyDescent="0.2">
      <c r="H84" s="61"/>
    </row>
    <row r="85" spans="8:8" x14ac:dyDescent="0.2">
      <c r="H85" s="61"/>
    </row>
    <row r="86" spans="8:8" x14ac:dyDescent="0.2">
      <c r="H86" s="61"/>
    </row>
    <row r="87" spans="8:8" x14ac:dyDescent="0.2">
      <c r="H87" s="61"/>
    </row>
    <row r="88" spans="8:8" x14ac:dyDescent="0.2">
      <c r="H88" s="61"/>
    </row>
    <row r="89" spans="8:8" x14ac:dyDescent="0.2">
      <c r="H89" s="61"/>
    </row>
    <row r="90" spans="8:8" x14ac:dyDescent="0.2">
      <c r="H90" s="61"/>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7"/>
  <sheetViews>
    <sheetView zoomScaleNormal="100" zoomScaleSheetLayoutView="90" workbookViewId="0">
      <selection activeCell="B33" sqref="B33"/>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9" ht="15" x14ac:dyDescent="0.2">
      <c r="A1" s="67"/>
      <c r="B1" s="67"/>
      <c r="C1" s="67"/>
      <c r="D1" s="67"/>
      <c r="E1" s="67"/>
      <c r="F1" s="67"/>
    </row>
    <row r="2" spans="1:9" ht="15" x14ac:dyDescent="0.2">
      <c r="A2" s="67"/>
      <c r="B2" s="67"/>
      <c r="C2" s="67"/>
      <c r="D2" s="67"/>
      <c r="E2" s="67"/>
      <c r="F2" s="67"/>
    </row>
    <row r="3" spans="1:9" ht="15" x14ac:dyDescent="0.2">
      <c r="A3" s="67"/>
      <c r="B3" s="67"/>
      <c r="C3" s="67"/>
      <c r="D3" s="67"/>
      <c r="E3" s="67"/>
      <c r="F3" s="67"/>
    </row>
    <row r="4" spans="1:9" ht="21" customHeight="1" x14ac:dyDescent="0.2">
      <c r="A4" s="67"/>
      <c r="B4" s="67"/>
      <c r="C4" s="67"/>
      <c r="D4" s="67"/>
      <c r="E4" s="67"/>
      <c r="F4" s="67"/>
    </row>
    <row r="5" spans="1:9" ht="15" x14ac:dyDescent="0.2">
      <c r="A5" s="71"/>
      <c r="B5" s="68" t="s">
        <v>49</v>
      </c>
      <c r="C5" s="69"/>
      <c r="D5" s="69"/>
      <c r="E5" s="70"/>
      <c r="F5" s="71"/>
    </row>
    <row r="6" spans="1:9" ht="16.5" customHeight="1" x14ac:dyDescent="0.2">
      <c r="A6" s="71"/>
      <c r="B6" s="72"/>
      <c r="C6" s="73"/>
      <c r="D6" s="74" t="s">
        <v>50</v>
      </c>
      <c r="E6" s="75"/>
      <c r="F6" s="71"/>
    </row>
    <row r="7" spans="1:9" ht="16.5" customHeight="1" x14ac:dyDescent="0.2">
      <c r="A7" s="71"/>
      <c r="B7" s="2450" t="s">
        <v>51</v>
      </c>
      <c r="C7" s="2451"/>
      <c r="D7" s="451">
        <v>1</v>
      </c>
      <c r="E7" s="76"/>
      <c r="F7" s="71"/>
    </row>
    <row r="8" spans="1:9" ht="16.5" customHeight="1" x14ac:dyDescent="0.2">
      <c r="A8" s="71"/>
      <c r="B8" s="2452" t="s">
        <v>52</v>
      </c>
      <c r="C8" s="2451"/>
      <c r="D8" s="451">
        <v>2</v>
      </c>
      <c r="E8" s="76"/>
      <c r="F8" s="71"/>
    </row>
    <row r="9" spans="1:9" ht="16.5" customHeight="1" x14ac:dyDescent="0.2">
      <c r="A9" s="71"/>
      <c r="B9" s="2447" t="s">
        <v>184</v>
      </c>
      <c r="C9" s="2446"/>
      <c r="D9" s="451">
        <v>3</v>
      </c>
      <c r="E9" s="76"/>
      <c r="F9" s="71"/>
    </row>
    <row r="10" spans="1:9" ht="16.5" hidden="1" customHeight="1" x14ac:dyDescent="0.2">
      <c r="A10" s="71"/>
      <c r="B10" s="892" t="s">
        <v>401</v>
      </c>
      <c r="C10" s="860"/>
      <c r="D10" s="451">
        <v>4</v>
      </c>
      <c r="E10" s="76"/>
      <c r="F10" s="71"/>
      <c r="G10" s="485"/>
      <c r="H10" s="485"/>
      <c r="I10" s="485"/>
    </row>
    <row r="11" spans="1:9" ht="16.5" customHeight="1" x14ac:dyDescent="0.2">
      <c r="A11" s="71"/>
      <c r="B11" s="813" t="s">
        <v>389</v>
      </c>
      <c r="C11" s="486"/>
      <c r="D11" s="451">
        <v>4</v>
      </c>
      <c r="E11" s="76"/>
      <c r="F11" s="71"/>
    </row>
    <row r="12" spans="1:9" s="485" customFormat="1" ht="16.5" customHeight="1" x14ac:dyDescent="0.2">
      <c r="A12" s="71"/>
      <c r="B12" s="813" t="s">
        <v>390</v>
      </c>
      <c r="C12" s="486"/>
      <c r="D12" s="451">
        <v>5</v>
      </c>
      <c r="E12" s="76"/>
      <c r="F12" s="71"/>
      <c r="G12"/>
      <c r="H12"/>
      <c r="I12"/>
    </row>
    <row r="13" spans="1:9" ht="16.5" customHeight="1" x14ac:dyDescent="0.2">
      <c r="A13" s="71"/>
      <c r="B13" s="813" t="s">
        <v>391</v>
      </c>
      <c r="C13" s="486"/>
      <c r="D13" s="451">
        <v>6</v>
      </c>
      <c r="E13" s="76"/>
      <c r="F13" s="71"/>
      <c r="G13" s="485"/>
      <c r="H13" s="485"/>
      <c r="I13" s="485"/>
    </row>
    <row r="14" spans="1:9" ht="16.5" customHeight="1" x14ac:dyDescent="0.2">
      <c r="A14" s="71"/>
      <c r="B14" s="2445" t="s">
        <v>357</v>
      </c>
      <c r="C14" s="2446"/>
      <c r="D14" s="451">
        <v>7</v>
      </c>
      <c r="E14" s="77"/>
      <c r="F14" s="71"/>
    </row>
    <row r="15" spans="1:9" ht="16.5" customHeight="1" x14ac:dyDescent="0.2">
      <c r="A15" s="71"/>
      <c r="B15" s="2445" t="s">
        <v>317</v>
      </c>
      <c r="C15" s="2446"/>
      <c r="D15" s="451">
        <v>8</v>
      </c>
      <c r="E15" s="76"/>
      <c r="F15" s="71"/>
    </row>
    <row r="16" spans="1:9" s="412" customFormat="1" ht="16.5" customHeight="1" x14ac:dyDescent="0.2">
      <c r="A16" s="71"/>
      <c r="B16" s="813" t="s">
        <v>384</v>
      </c>
      <c r="C16" s="812"/>
      <c r="D16" s="451">
        <v>9</v>
      </c>
      <c r="E16" s="76"/>
      <c r="F16" s="71"/>
      <c r="G16"/>
      <c r="H16"/>
      <c r="I16"/>
    </row>
    <row r="17" spans="1:50" ht="16.5" customHeight="1" x14ac:dyDescent="0.2">
      <c r="A17" s="71"/>
      <c r="B17" s="572" t="s">
        <v>53</v>
      </c>
      <c r="C17" s="812"/>
      <c r="D17" s="451">
        <v>10</v>
      </c>
      <c r="E17" s="76"/>
      <c r="F17" s="71"/>
      <c r="G17" s="412"/>
      <c r="H17" s="412"/>
      <c r="I17" s="412"/>
    </row>
    <row r="18" spans="1:50" ht="16.5" customHeight="1" x14ac:dyDescent="0.2">
      <c r="A18" s="71"/>
      <c r="B18" s="2445" t="s">
        <v>300</v>
      </c>
      <c r="C18" s="2446"/>
      <c r="D18" s="451">
        <v>11</v>
      </c>
      <c r="E18" s="76"/>
      <c r="F18" s="71"/>
    </row>
    <row r="19" spans="1:50" ht="16.5" customHeight="1" x14ac:dyDescent="0.2">
      <c r="A19" s="71"/>
      <c r="B19" s="2447" t="s">
        <v>54</v>
      </c>
      <c r="C19" s="2446"/>
      <c r="D19" s="451">
        <v>12</v>
      </c>
      <c r="E19" s="76"/>
      <c r="F19" s="71"/>
    </row>
    <row r="20" spans="1:50" ht="15" customHeight="1" x14ac:dyDescent="0.2">
      <c r="A20" s="71"/>
      <c r="B20" s="2448" t="s">
        <v>55</v>
      </c>
      <c r="C20" s="2449"/>
      <c r="D20" s="452">
        <v>13</v>
      </c>
      <c r="E20" s="78"/>
      <c r="F20" s="71"/>
    </row>
    <row r="21" spans="1:50" x14ac:dyDescent="0.2">
      <c r="A21" s="71"/>
      <c r="B21" s="71"/>
      <c r="C21" s="71"/>
      <c r="D21" s="71"/>
      <c r="E21" s="71"/>
      <c r="F21" s="71"/>
    </row>
    <row r="22" spans="1:50" x14ac:dyDescent="0.2">
      <c r="A22" s="71"/>
      <c r="B22" s="71"/>
      <c r="C22" s="71"/>
      <c r="D22" s="71"/>
      <c r="E22" s="71"/>
      <c r="F22" s="71"/>
    </row>
    <row r="23" spans="1:50" ht="15.75" customHeight="1" x14ac:dyDescent="0.2">
      <c r="A23" s="410" t="s">
        <v>56</v>
      </c>
      <c r="B23" s="410"/>
      <c r="C23" s="410"/>
      <c r="D23" s="409"/>
      <c r="E23" s="409"/>
      <c r="F23" s="409"/>
    </row>
    <row r="24" spans="1:50" ht="40.5" customHeight="1" x14ac:dyDescent="0.2">
      <c r="A24" s="2438" t="s">
        <v>457</v>
      </c>
      <c r="B24" s="2438"/>
      <c r="C24" s="2438"/>
      <c r="D24" s="2438"/>
      <c r="E24" s="2438"/>
      <c r="F24" s="2438"/>
    </row>
    <row r="25" spans="1:50" ht="12.75" customHeight="1" x14ac:dyDescent="0.2">
      <c r="A25" s="406"/>
      <c r="B25" s="407"/>
      <c r="C25" s="408"/>
      <c r="D25" s="408"/>
      <c r="E25" s="408"/>
      <c r="F25" s="408"/>
    </row>
    <row r="26" spans="1:50" s="61" customFormat="1" ht="15" customHeight="1" x14ac:dyDescent="0.2">
      <c r="A26" s="410" t="s">
        <v>386</v>
      </c>
      <c r="B26" s="410"/>
      <c r="C26" s="410"/>
      <c r="D26" s="409"/>
      <c r="E26" s="409"/>
      <c r="F26" s="409"/>
      <c r="G26"/>
      <c r="AX26" s="61">
        <v>0</v>
      </c>
    </row>
    <row r="27" spans="1:50" ht="68.25" customHeight="1" x14ac:dyDescent="0.2">
      <c r="A27" s="2439" t="s">
        <v>387</v>
      </c>
      <c r="B27" s="2440"/>
      <c r="C27" s="2441"/>
      <c r="D27" s="2441"/>
      <c r="E27" s="2441"/>
      <c r="F27" s="244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row>
    <row r="28" spans="1:50" x14ac:dyDescent="0.2">
      <c r="A28" s="81"/>
      <c r="B28" s="81"/>
      <c r="C28" s="50"/>
      <c r="D28" s="64"/>
      <c r="E28" s="50"/>
      <c r="F28" s="50"/>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row>
    <row r="29" spans="1:50" ht="14.25" x14ac:dyDescent="0.2">
      <c r="A29" s="79" t="s">
        <v>57</v>
      </c>
      <c r="B29" s="79"/>
      <c r="C29" s="79"/>
      <c r="D29" s="80"/>
      <c r="E29" s="80"/>
      <c r="F29" s="80"/>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row>
    <row r="30" spans="1:50" x14ac:dyDescent="0.2">
      <c r="A30" s="2442" t="s">
        <v>246</v>
      </c>
      <c r="B30" s="2443"/>
      <c r="C30" s="2444"/>
      <c r="D30" s="2444"/>
      <c r="E30" s="2444"/>
      <c r="F30" s="244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50" x14ac:dyDescent="0.2">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50" x14ac:dyDescent="0.2">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2:50" x14ac:dyDescent="0.2">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X33" t="s">
        <v>42</v>
      </c>
    </row>
    <row r="34" spans="2:50" x14ac:dyDescent="0.2">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X34" s="485"/>
    </row>
    <row r="35" spans="2:50" x14ac:dyDescent="0.2">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2:50" x14ac:dyDescent="0.2">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row>
    <row r="37" spans="2:50" x14ac:dyDescent="0.2">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row>
    <row r="38" spans="2:50" x14ac:dyDescent="0.2">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2:50" x14ac:dyDescent="0.2">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2:50" x14ac:dyDescent="0.2">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2:50" x14ac:dyDescent="0.2">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2:50" x14ac:dyDescent="0.2">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2:50" ht="14.25" x14ac:dyDescent="0.2">
      <c r="B43" s="80"/>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2:50" x14ac:dyDescent="0.2">
      <c r="B44" s="412"/>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2:50" x14ac:dyDescent="0.2">
      <c r="B45" s="412"/>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2:50" x14ac:dyDescent="0.2">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2:50" x14ac:dyDescent="0.2">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71" spans="8:49" x14ac:dyDescent="0.2">
      <c r="AW71" s="350"/>
    </row>
    <row r="72" spans="8:49" x14ac:dyDescent="0.2">
      <c r="AW72" s="350"/>
    </row>
    <row r="80" spans="8:49" x14ac:dyDescent="0.2">
      <c r="H80" s="61"/>
    </row>
    <row r="81" spans="8:8" x14ac:dyDescent="0.2">
      <c r="H81" s="61"/>
    </row>
    <row r="82" spans="8:8" x14ac:dyDescent="0.2">
      <c r="H82" s="61"/>
    </row>
    <row r="83" spans="8:8" x14ac:dyDescent="0.2">
      <c r="H83" s="61"/>
    </row>
    <row r="84" spans="8:8" x14ac:dyDescent="0.2">
      <c r="H84" s="61"/>
    </row>
    <row r="85" spans="8:8" x14ac:dyDescent="0.2">
      <c r="H85" s="61"/>
    </row>
    <row r="86" spans="8:8" x14ac:dyDescent="0.2">
      <c r="H86" s="61"/>
    </row>
    <row r="87" spans="8:8" x14ac:dyDescent="0.2">
      <c r="H87" s="61"/>
    </row>
  </sheetData>
  <mergeCells count="11">
    <mergeCell ref="B15:C15"/>
    <mergeCell ref="B7:C7"/>
    <mergeCell ref="B8:C8"/>
    <mergeCell ref="B9:C9"/>
    <mergeCell ref="B14:C14"/>
    <mergeCell ref="A24:F24"/>
    <mergeCell ref="A27:F27"/>
    <mergeCell ref="A30:F30"/>
    <mergeCell ref="B18:C18"/>
    <mergeCell ref="B19:C19"/>
    <mergeCell ref="B20:C20"/>
  </mergeCells>
  <phoneticPr fontId="16"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U120"/>
  <sheetViews>
    <sheetView topLeftCell="A19" zoomScale="80" zoomScaleNormal="80" zoomScaleSheetLayoutView="100" zoomScalePageLayoutView="80" workbookViewId="0">
      <selection activeCell="I60" sqref="I60"/>
    </sheetView>
  </sheetViews>
  <sheetFormatPr defaultRowHeight="12.75" x14ac:dyDescent="0.2"/>
  <cols>
    <col min="1" max="1" width="2.7109375" style="963" customWidth="1"/>
    <col min="2" max="2" width="41.42578125" style="963" customWidth="1"/>
    <col min="3" max="3" width="12.7109375" style="963" customWidth="1"/>
    <col min="4" max="4" width="11.140625" style="963" customWidth="1"/>
    <col min="5" max="5" width="1.5703125" style="915" customWidth="1"/>
    <col min="6" max="8" width="8.7109375" style="915" hidden="1" customWidth="1"/>
    <col min="9" max="9" width="12" style="915" customWidth="1"/>
    <col min="10" max="10" width="11" style="964" customWidth="1"/>
    <col min="11" max="12" width="10.7109375" style="964" customWidth="1"/>
    <col min="13" max="13" width="10.140625" style="964" customWidth="1"/>
    <col min="14" max="14" width="11" style="964" customWidth="1"/>
    <col min="15" max="15" width="10.140625" style="964" customWidth="1"/>
    <col min="16" max="16" width="10.7109375" style="964" customWidth="1"/>
    <col min="17" max="17" width="10.140625" style="964" customWidth="1"/>
    <col min="18" max="18" width="10" style="964" hidden="1" customWidth="1"/>
    <col min="19" max="19" width="9.7109375" style="964" hidden="1" customWidth="1"/>
    <col min="20" max="21" width="10.140625" style="964" hidden="1" customWidth="1"/>
    <col min="22" max="24" width="10" style="964" hidden="1" customWidth="1"/>
    <col min="25" max="25" width="10.140625" style="964" hidden="1" customWidth="1"/>
    <col min="26" max="37" width="10" style="964" hidden="1" customWidth="1"/>
    <col min="38" max="38" width="9.7109375" style="964" hidden="1" customWidth="1"/>
    <col min="39" max="40" width="9.28515625" style="964" hidden="1" customWidth="1"/>
    <col min="41" max="49" width="9.28515625" style="963" hidden="1" customWidth="1"/>
    <col min="50" max="50" width="1.5703125" style="963" hidden="1" customWidth="1"/>
    <col min="51" max="52" width="10.140625" style="963" hidden="1" customWidth="1"/>
    <col min="53" max="53" width="10.85546875" style="963" hidden="1" customWidth="1"/>
    <col min="54" max="54" width="9.7109375" style="963" hidden="1" customWidth="1"/>
    <col min="55" max="55" width="4.28515625" style="963" customWidth="1"/>
    <col min="56" max="58" width="10.7109375" style="963" customWidth="1"/>
    <col min="59" max="60" width="10.28515625" style="963" customWidth="1"/>
    <col min="61" max="61" width="10.28515625" style="963" hidden="1" customWidth="1"/>
    <col min="62" max="62" width="10.140625" style="963" hidden="1" customWidth="1"/>
    <col min="63" max="63" width="10" style="963" hidden="1" customWidth="1"/>
    <col min="64" max="68" width="9.7109375" style="963" hidden="1" customWidth="1"/>
    <col min="69" max="69" width="1.5703125" style="963" customWidth="1"/>
    <col min="70" max="70" width="9.140625" style="963"/>
    <col min="71" max="71" width="9.140625" style="914"/>
    <col min="72" max="72" width="25.7109375" style="914" bestFit="1" customWidth="1"/>
    <col min="73" max="73" width="13.85546875" style="914" bestFit="1" customWidth="1"/>
    <col min="74" max="16384" width="9.140625" style="914"/>
  </cols>
  <sheetData>
    <row r="2" spans="1:69" x14ac:dyDescent="0.2">
      <c r="C2" s="964"/>
      <c r="J2" s="993"/>
      <c r="K2" s="992"/>
      <c r="L2" s="992"/>
      <c r="N2" s="993"/>
      <c r="O2" s="992"/>
      <c r="P2" s="992"/>
      <c r="R2" s="993"/>
      <c r="S2" s="992"/>
      <c r="T2" s="992"/>
      <c r="V2" s="993"/>
      <c r="W2" s="992"/>
      <c r="X2" s="992"/>
      <c r="Z2" s="993"/>
      <c r="AA2" s="992"/>
      <c r="AB2" s="992"/>
      <c r="AD2" s="993"/>
      <c r="AE2" s="992"/>
      <c r="AF2" s="992"/>
    </row>
    <row r="3" spans="1:69" x14ac:dyDescent="0.2">
      <c r="J3" s="995"/>
      <c r="K3" s="992"/>
      <c r="L3" s="992"/>
      <c r="M3" s="994"/>
      <c r="N3" s="995"/>
      <c r="O3" s="992"/>
      <c r="P3" s="992"/>
      <c r="Q3" s="994"/>
      <c r="R3" s="995"/>
      <c r="S3" s="992"/>
      <c r="T3" s="992"/>
      <c r="U3" s="994"/>
      <c r="V3" s="995"/>
      <c r="W3" s="992"/>
      <c r="X3" s="992"/>
      <c r="Y3" s="994"/>
      <c r="Z3" s="995"/>
      <c r="AA3" s="992"/>
      <c r="AB3" s="992"/>
      <c r="AC3" s="994"/>
      <c r="AD3" s="993"/>
      <c r="AE3" s="992"/>
      <c r="AF3" s="992"/>
      <c r="AG3" s="994"/>
    </row>
    <row r="4" spans="1:69" x14ac:dyDescent="0.2">
      <c r="J4" s="995"/>
      <c r="K4" s="992"/>
      <c r="L4" s="992"/>
      <c r="N4" s="995"/>
      <c r="O4" s="992"/>
      <c r="P4" s="992"/>
      <c r="R4" s="995"/>
      <c r="S4" s="992"/>
      <c r="T4" s="992"/>
      <c r="V4" s="995"/>
      <c r="W4" s="992"/>
      <c r="X4" s="992"/>
      <c r="Z4" s="995"/>
      <c r="AA4" s="992"/>
      <c r="AB4" s="992"/>
      <c r="AD4" s="993"/>
      <c r="AE4" s="992"/>
      <c r="AF4" s="992"/>
    </row>
    <row r="5" spans="1:69" ht="15" x14ac:dyDescent="0.2">
      <c r="A5" s="964"/>
      <c r="B5" s="964"/>
      <c r="C5" s="964"/>
      <c r="D5" s="964"/>
      <c r="J5" s="997"/>
      <c r="K5" s="996"/>
      <c r="L5" s="996"/>
      <c r="M5" s="996"/>
      <c r="N5" s="997"/>
      <c r="O5" s="996"/>
      <c r="P5" s="996"/>
      <c r="Q5" s="996"/>
      <c r="R5" s="997"/>
      <c r="S5" s="996"/>
      <c r="T5" s="996"/>
      <c r="U5" s="996"/>
      <c r="V5" s="997"/>
      <c r="W5" s="996"/>
      <c r="X5" s="996"/>
      <c r="Y5" s="996"/>
      <c r="Z5" s="997"/>
      <c r="AA5" s="996"/>
      <c r="AB5" s="996"/>
      <c r="AC5" s="996"/>
      <c r="AD5" s="993"/>
      <c r="AE5" s="992"/>
      <c r="AF5" s="992"/>
      <c r="AO5" s="964"/>
      <c r="AP5" s="964"/>
      <c r="AQ5" s="964"/>
    </row>
    <row r="6" spans="1:69" ht="15" x14ac:dyDescent="0.2">
      <c r="A6" s="965" t="s">
        <v>0</v>
      </c>
      <c r="B6" s="966"/>
      <c r="C6" s="966"/>
      <c r="D6" s="966"/>
      <c r="E6" s="917"/>
      <c r="F6" s="917"/>
      <c r="G6" s="917"/>
      <c r="H6" s="917"/>
      <c r="I6" s="917"/>
      <c r="J6" s="998"/>
      <c r="K6" s="996"/>
      <c r="L6" s="996"/>
      <c r="M6" s="996"/>
      <c r="N6" s="998"/>
      <c r="O6" s="996"/>
      <c r="P6" s="996"/>
      <c r="Q6" s="996"/>
      <c r="R6" s="998"/>
      <c r="S6" s="996"/>
      <c r="T6" s="996"/>
      <c r="U6" s="996"/>
      <c r="V6" s="998"/>
      <c r="W6" s="996"/>
      <c r="X6" s="996"/>
      <c r="Y6" s="996"/>
      <c r="Z6" s="998"/>
      <c r="AA6" s="996"/>
      <c r="AB6" s="996"/>
      <c r="AC6" s="996"/>
      <c r="AD6" s="966"/>
      <c r="AE6" s="966"/>
      <c r="AF6" s="966"/>
      <c r="AG6" s="966"/>
      <c r="AH6" s="966"/>
      <c r="AI6" s="966"/>
      <c r="AJ6" s="966"/>
      <c r="AK6" s="966"/>
      <c r="AL6" s="966"/>
      <c r="AM6" s="966"/>
      <c r="AN6" s="966"/>
      <c r="AO6" s="964"/>
      <c r="AP6" s="964"/>
      <c r="AQ6" s="964"/>
    </row>
    <row r="7" spans="1:69" ht="15" x14ac:dyDescent="0.2">
      <c r="A7" s="967" t="s">
        <v>270</v>
      </c>
      <c r="B7" s="966"/>
      <c r="C7" s="966"/>
      <c r="D7" s="966"/>
      <c r="E7" s="917"/>
      <c r="F7" s="917"/>
      <c r="G7" s="917"/>
      <c r="H7" s="917"/>
      <c r="I7" s="917"/>
      <c r="J7" s="996"/>
      <c r="K7" s="996"/>
      <c r="L7" s="996"/>
      <c r="M7" s="996"/>
      <c r="N7" s="996"/>
      <c r="O7" s="996"/>
      <c r="P7" s="996"/>
      <c r="Q7" s="996"/>
      <c r="R7" s="996"/>
      <c r="S7" s="996"/>
      <c r="T7" s="996"/>
      <c r="U7" s="996"/>
      <c r="V7" s="996"/>
      <c r="W7" s="996"/>
      <c r="X7" s="996"/>
      <c r="Y7" s="996"/>
      <c r="Z7" s="996"/>
      <c r="AA7" s="996"/>
      <c r="AB7" s="996"/>
      <c r="AC7" s="996"/>
      <c r="AD7" s="966"/>
      <c r="AE7" s="966"/>
      <c r="AF7" s="966"/>
      <c r="AG7" s="966"/>
      <c r="AH7" s="966"/>
      <c r="AI7" s="966"/>
      <c r="AJ7" s="966"/>
      <c r="AK7" s="966"/>
      <c r="AL7" s="966"/>
      <c r="AM7" s="966"/>
      <c r="AN7" s="966"/>
      <c r="AO7" s="964"/>
      <c r="AP7" s="964"/>
      <c r="AQ7" s="964"/>
    </row>
    <row r="8" spans="1:69" ht="9.75" customHeight="1" x14ac:dyDescent="0.2">
      <c r="B8" s="964"/>
      <c r="C8" s="964"/>
      <c r="D8" s="964"/>
      <c r="J8" s="999"/>
      <c r="N8" s="999"/>
      <c r="R8" s="999"/>
      <c r="V8" s="999"/>
      <c r="Z8" s="999"/>
      <c r="AD8" s="999"/>
      <c r="AH8" s="999"/>
      <c r="AI8" s="999"/>
      <c r="AJ8" s="999"/>
      <c r="AM8" s="999"/>
      <c r="AO8" s="964"/>
      <c r="AP8" s="964"/>
      <c r="AQ8" s="964"/>
    </row>
    <row r="9" spans="1:69" x14ac:dyDescent="0.2">
      <c r="A9" s="968" t="s">
        <v>1</v>
      </c>
      <c r="B9" s="969"/>
      <c r="C9" s="2455" t="s">
        <v>456</v>
      </c>
      <c r="D9" s="2456"/>
      <c r="E9" s="919"/>
      <c r="F9" s="920"/>
      <c r="G9" s="921"/>
      <c r="H9" s="921"/>
      <c r="I9" s="2313"/>
      <c r="J9" s="1002"/>
      <c r="K9" s="1000"/>
      <c r="L9" s="1000"/>
      <c r="M9" s="1001"/>
      <c r="N9" s="1002"/>
      <c r="O9" s="1000"/>
      <c r="P9" s="1000"/>
      <c r="Q9" s="1001"/>
      <c r="R9" s="1002"/>
      <c r="S9" s="1000"/>
      <c r="T9" s="1000"/>
      <c r="U9" s="1001"/>
      <c r="V9" s="1002"/>
      <c r="W9" s="1000"/>
      <c r="X9" s="1000"/>
      <c r="Y9" s="1001"/>
      <c r="Z9" s="1002"/>
      <c r="AA9" s="1000"/>
      <c r="AB9" s="1000"/>
      <c r="AC9" s="1001"/>
      <c r="AD9" s="1002"/>
      <c r="AE9" s="1000"/>
      <c r="AF9" s="1000"/>
      <c r="AG9" s="1001"/>
      <c r="AI9" s="1000"/>
      <c r="AK9" s="1001"/>
      <c r="AL9" s="1000"/>
      <c r="AN9" s="1000"/>
      <c r="AO9" s="1001"/>
      <c r="AP9" s="1000"/>
      <c r="AQ9" s="1000"/>
      <c r="AR9" s="1000"/>
      <c r="AS9" s="1000"/>
      <c r="AT9" s="1003"/>
      <c r="AU9" s="1001"/>
      <c r="AV9" s="1001"/>
      <c r="AW9" s="1001"/>
      <c r="AX9" s="1004"/>
      <c r="AY9" s="1005" t="s">
        <v>448</v>
      </c>
      <c r="AZ9" s="1006"/>
      <c r="BA9" s="1006" t="s">
        <v>441</v>
      </c>
      <c r="BB9" s="1007"/>
      <c r="BC9" s="1008"/>
      <c r="BD9" s="1009"/>
      <c r="BE9" s="1009"/>
      <c r="BF9" s="1009"/>
      <c r="BG9" s="1009"/>
      <c r="BH9" s="1009"/>
      <c r="BI9" s="1009"/>
      <c r="BJ9" s="1009"/>
      <c r="BK9" s="1009"/>
      <c r="BL9" s="1003"/>
      <c r="BM9" s="1003"/>
      <c r="BN9" s="1009"/>
      <c r="BO9" s="1009"/>
      <c r="BP9" s="1009"/>
      <c r="BQ9" s="972"/>
    </row>
    <row r="10" spans="1:69" ht="13.5" x14ac:dyDescent="0.2">
      <c r="A10" s="968" t="s">
        <v>2</v>
      </c>
      <c r="B10" s="969"/>
      <c r="C10" s="2457" t="s">
        <v>39</v>
      </c>
      <c r="D10" s="2458"/>
      <c r="E10" s="924"/>
      <c r="F10" s="925" t="s">
        <v>452</v>
      </c>
      <c r="G10" s="925" t="s">
        <v>453</v>
      </c>
      <c r="H10" s="925" t="s">
        <v>454</v>
      </c>
      <c r="I10" s="2281" t="s">
        <v>455</v>
      </c>
      <c r="J10" s="1010" t="s">
        <v>399</v>
      </c>
      <c r="K10" s="1010" t="s">
        <v>398</v>
      </c>
      <c r="L10" s="1010" t="s">
        <v>397</v>
      </c>
      <c r="M10" s="1011" t="s">
        <v>395</v>
      </c>
      <c r="N10" s="1010" t="s">
        <v>373</v>
      </c>
      <c r="O10" s="1010" t="s">
        <v>374</v>
      </c>
      <c r="P10" s="1010" t="s">
        <v>375</v>
      </c>
      <c r="Q10" s="1011" t="s">
        <v>376</v>
      </c>
      <c r="R10" s="1010" t="s">
        <v>330</v>
      </c>
      <c r="S10" s="1010" t="s">
        <v>329</v>
      </c>
      <c r="T10" s="1010" t="s">
        <v>328</v>
      </c>
      <c r="U10" s="1011" t="s">
        <v>326</v>
      </c>
      <c r="V10" s="1012" t="s">
        <v>282</v>
      </c>
      <c r="W10" s="1010" t="s">
        <v>283</v>
      </c>
      <c r="X10" s="1010" t="s">
        <v>284</v>
      </c>
      <c r="Y10" s="1011" t="s">
        <v>285</v>
      </c>
      <c r="Z10" s="1012" t="s">
        <v>220</v>
      </c>
      <c r="AA10" s="1010" t="s">
        <v>221</v>
      </c>
      <c r="AB10" s="1010" t="s">
        <v>222</v>
      </c>
      <c r="AC10" s="1011" t="s">
        <v>219</v>
      </c>
      <c r="AD10" s="1012" t="s">
        <v>185</v>
      </c>
      <c r="AE10" s="1010" t="s">
        <v>186</v>
      </c>
      <c r="AF10" s="1010" t="s">
        <v>187</v>
      </c>
      <c r="AG10" s="1011" t="s">
        <v>188</v>
      </c>
      <c r="AH10" s="1010" t="s">
        <v>118</v>
      </c>
      <c r="AI10" s="1010" t="s">
        <v>117</v>
      </c>
      <c r="AJ10" s="1010" t="s">
        <v>116</v>
      </c>
      <c r="AK10" s="1011" t="s">
        <v>115</v>
      </c>
      <c r="AL10" s="1010" t="s">
        <v>83</v>
      </c>
      <c r="AM10" s="1010" t="s">
        <v>84</v>
      </c>
      <c r="AN10" s="1010" t="s">
        <v>85</v>
      </c>
      <c r="AO10" s="1011" t="s">
        <v>30</v>
      </c>
      <c r="AP10" s="1010" t="s">
        <v>31</v>
      </c>
      <c r="AQ10" s="1010" t="s">
        <v>32</v>
      </c>
      <c r="AR10" s="1010" t="s">
        <v>33</v>
      </c>
      <c r="AS10" s="1010" t="s">
        <v>34</v>
      </c>
      <c r="AT10" s="1013" t="s">
        <v>35</v>
      </c>
      <c r="AU10" s="1011" t="s">
        <v>36</v>
      </c>
      <c r="AV10" s="1011" t="s">
        <v>37</v>
      </c>
      <c r="AW10" s="1011" t="s">
        <v>38</v>
      </c>
      <c r="AX10" s="1014"/>
      <c r="AY10" s="1010" t="s">
        <v>399</v>
      </c>
      <c r="AZ10" s="1010" t="s">
        <v>373</v>
      </c>
      <c r="BA10" s="2453" t="s">
        <v>39</v>
      </c>
      <c r="BB10" s="2454"/>
      <c r="BC10" s="1015"/>
      <c r="BD10" s="1012" t="s">
        <v>438</v>
      </c>
      <c r="BE10" s="1012" t="s">
        <v>385</v>
      </c>
      <c r="BF10" s="1012" t="s">
        <v>332</v>
      </c>
      <c r="BG10" s="1012" t="s">
        <v>287</v>
      </c>
      <c r="BH10" s="1012" t="s">
        <v>224</v>
      </c>
      <c r="BI10" s="1012" t="s">
        <v>120</v>
      </c>
      <c r="BJ10" s="1012" t="s">
        <v>119</v>
      </c>
      <c r="BK10" s="1012" t="s">
        <v>43</v>
      </c>
      <c r="BL10" s="1013" t="s">
        <v>40</v>
      </c>
      <c r="BM10" s="1013" t="s">
        <v>41</v>
      </c>
      <c r="BN10" s="1013" t="s">
        <v>138</v>
      </c>
      <c r="BO10" s="1013" t="s">
        <v>139</v>
      </c>
      <c r="BP10" s="1013" t="s">
        <v>140</v>
      </c>
      <c r="BQ10" s="972"/>
    </row>
    <row r="11" spans="1:69" ht="12.75" customHeight="1" x14ac:dyDescent="0.2">
      <c r="A11" s="970" t="s">
        <v>3</v>
      </c>
      <c r="B11" s="971"/>
      <c r="C11" s="972"/>
      <c r="D11" s="973"/>
      <c r="E11" s="922"/>
      <c r="F11" s="923"/>
      <c r="I11" s="2370"/>
      <c r="J11" s="972"/>
      <c r="M11" s="973"/>
      <c r="N11" s="972"/>
      <c r="Q11" s="973"/>
      <c r="R11" s="972"/>
      <c r="U11" s="973"/>
      <c r="V11" s="972"/>
      <c r="Y11" s="973"/>
      <c r="Z11" s="972"/>
      <c r="AC11" s="973"/>
      <c r="AD11" s="972"/>
      <c r="AG11" s="973"/>
      <c r="AK11" s="973"/>
      <c r="AO11" s="973"/>
      <c r="AP11" s="964"/>
      <c r="AQ11" s="964"/>
      <c r="AR11" s="964"/>
      <c r="AS11" s="973"/>
      <c r="AT11" s="1004"/>
      <c r="AU11" s="973"/>
      <c r="AV11" s="973"/>
      <c r="AW11" s="973"/>
      <c r="AX11" s="1004"/>
      <c r="AY11" s="964"/>
      <c r="AZ11" s="964"/>
      <c r="BA11" s="1000"/>
      <c r="BB11" s="1001"/>
      <c r="BD11" s="1004"/>
      <c r="BE11" s="1004"/>
      <c r="BF11" s="1004"/>
      <c r="BG11" s="1004"/>
      <c r="BH11" s="1004"/>
      <c r="BI11" s="1004"/>
      <c r="BJ11" s="1004"/>
      <c r="BK11" s="1004"/>
      <c r="BL11" s="1004"/>
      <c r="BM11" s="1004"/>
      <c r="BN11" s="1016"/>
      <c r="BO11" s="1016"/>
      <c r="BP11" s="1003"/>
      <c r="BQ11" s="972"/>
    </row>
    <row r="12" spans="1:69" ht="12.75" customHeight="1" x14ac:dyDescent="0.2">
      <c r="A12" s="969"/>
      <c r="B12" s="969" t="s">
        <v>4</v>
      </c>
      <c r="C12" s="2400">
        <v>-8274</v>
      </c>
      <c r="D12" s="2401">
        <v>-3.8581700504537103E-2</v>
      </c>
      <c r="E12" s="927"/>
      <c r="F12" s="916">
        <v>0</v>
      </c>
      <c r="G12" s="916">
        <v>0</v>
      </c>
      <c r="H12" s="916">
        <v>0</v>
      </c>
      <c r="I12" s="2417">
        <v>206180</v>
      </c>
      <c r="J12" s="974">
        <v>200912</v>
      </c>
      <c r="K12" s="992">
        <v>181837</v>
      </c>
      <c r="L12" s="992">
        <v>190602</v>
      </c>
      <c r="M12" s="1017">
        <v>214454</v>
      </c>
      <c r="N12" s="992">
        <v>232465</v>
      </c>
      <c r="O12" s="992">
        <v>166471</v>
      </c>
      <c r="P12" s="992">
        <v>236271</v>
      </c>
      <c r="Q12" s="1017">
        <v>245556</v>
      </c>
      <c r="R12" s="992">
        <v>253748</v>
      </c>
      <c r="S12" s="992">
        <v>230959</v>
      </c>
      <c r="T12" s="992">
        <v>183306</v>
      </c>
      <c r="U12" s="1017">
        <v>187231</v>
      </c>
      <c r="V12" s="992">
        <v>217971</v>
      </c>
      <c r="W12" s="992">
        <v>230003</v>
      </c>
      <c r="X12" s="992">
        <v>186599</v>
      </c>
      <c r="Y12" s="1017">
        <v>162549</v>
      </c>
      <c r="Z12" s="992">
        <v>177692</v>
      </c>
      <c r="AA12" s="992">
        <v>147889</v>
      </c>
      <c r="AB12" s="992">
        <v>119500</v>
      </c>
      <c r="AC12" s="1017">
        <v>159783</v>
      </c>
      <c r="AD12" s="992">
        <v>247595</v>
      </c>
      <c r="AE12" s="992">
        <v>254834</v>
      </c>
      <c r="AF12" s="992">
        <v>149285</v>
      </c>
      <c r="AG12" s="1017">
        <v>151917</v>
      </c>
      <c r="AH12" s="992">
        <v>143133</v>
      </c>
      <c r="AI12" s="992">
        <v>173197</v>
      </c>
      <c r="AJ12" s="992">
        <v>123744</v>
      </c>
      <c r="AK12" s="1017">
        <v>137463</v>
      </c>
      <c r="AL12" s="992">
        <v>106996</v>
      </c>
      <c r="AM12" s="992">
        <v>87188</v>
      </c>
      <c r="AN12" s="992">
        <v>110829</v>
      </c>
      <c r="AO12" s="1017">
        <v>172708</v>
      </c>
      <c r="AP12" s="992">
        <v>143446</v>
      </c>
      <c r="AQ12" s="992">
        <v>183354</v>
      </c>
      <c r="AR12" s="992">
        <v>158869</v>
      </c>
      <c r="AS12" s="992">
        <v>245870</v>
      </c>
      <c r="AT12" s="1018">
        <v>216443</v>
      </c>
      <c r="AU12" s="1017">
        <v>178313</v>
      </c>
      <c r="AV12" s="1017">
        <v>156031</v>
      </c>
      <c r="AW12" s="1017">
        <v>206127</v>
      </c>
      <c r="AX12" s="1019"/>
      <c r="AY12" s="1020">
        <v>787805</v>
      </c>
      <c r="AZ12" s="1018">
        <v>880763</v>
      </c>
      <c r="BA12" s="992">
        <v>-92958</v>
      </c>
      <c r="BB12" s="976">
        <v>-0.10554258069423897</v>
      </c>
      <c r="BC12" s="1021"/>
      <c r="BD12" s="1018">
        <v>787805</v>
      </c>
      <c r="BE12" s="1018">
        <v>880763</v>
      </c>
      <c r="BF12" s="1018">
        <v>855244</v>
      </c>
      <c r="BG12" s="1018">
        <v>797122</v>
      </c>
      <c r="BH12" s="1018">
        <v>604864</v>
      </c>
      <c r="BI12" s="1018">
        <v>803631</v>
      </c>
      <c r="BJ12" s="1018">
        <v>577537</v>
      </c>
      <c r="BK12" s="1018">
        <v>477721</v>
      </c>
      <c r="BL12" s="1018">
        <v>731539</v>
      </c>
      <c r="BM12" s="1018">
        <v>756914</v>
      </c>
      <c r="BN12" s="1018">
        <v>583415</v>
      </c>
      <c r="BO12" s="1018">
        <v>432778</v>
      </c>
      <c r="BP12" s="1018">
        <v>402157</v>
      </c>
      <c r="BQ12" s="972"/>
    </row>
    <row r="13" spans="1:69" ht="12.75" customHeight="1" x14ac:dyDescent="0.2">
      <c r="A13" s="969"/>
      <c r="B13" s="969" t="s">
        <v>5</v>
      </c>
      <c r="C13" s="2400">
        <v>-5838</v>
      </c>
      <c r="D13" s="2401">
        <v>-2.8899988614255943E-2</v>
      </c>
      <c r="E13" s="927"/>
      <c r="F13" s="916">
        <v>0</v>
      </c>
      <c r="G13" s="916">
        <v>0</v>
      </c>
      <c r="H13" s="916">
        <v>0</v>
      </c>
      <c r="I13" s="2417">
        <v>196169</v>
      </c>
      <c r="J13" s="974">
        <v>228210</v>
      </c>
      <c r="K13" s="992">
        <v>532456</v>
      </c>
      <c r="L13" s="992">
        <v>189103</v>
      </c>
      <c r="M13" s="1017">
        <v>202007</v>
      </c>
      <c r="N13" s="992">
        <v>260835</v>
      </c>
      <c r="O13" s="992">
        <v>191991</v>
      </c>
      <c r="P13" s="992">
        <v>211326</v>
      </c>
      <c r="Q13" s="1017">
        <v>222268</v>
      </c>
      <c r="R13" s="992">
        <v>221737</v>
      </c>
      <c r="S13" s="992">
        <v>206539</v>
      </c>
      <c r="T13" s="992">
        <v>184262</v>
      </c>
      <c r="U13" s="1017">
        <v>178118</v>
      </c>
      <c r="V13" s="992">
        <v>211984</v>
      </c>
      <c r="W13" s="992">
        <v>216882</v>
      </c>
      <c r="X13" s="992">
        <v>204910</v>
      </c>
      <c r="Y13" s="1017">
        <v>187048</v>
      </c>
      <c r="Z13" s="992">
        <v>207731</v>
      </c>
      <c r="AA13" s="992">
        <v>142822</v>
      </c>
      <c r="AB13" s="992">
        <v>126396</v>
      </c>
      <c r="AC13" s="1017">
        <v>144034</v>
      </c>
      <c r="AD13" s="992">
        <v>189279</v>
      </c>
      <c r="AE13" s="992">
        <v>192918</v>
      </c>
      <c r="AF13" s="992">
        <v>134676</v>
      </c>
      <c r="AG13" s="1017">
        <v>144286</v>
      </c>
      <c r="AH13" s="992">
        <v>137658</v>
      </c>
      <c r="AI13" s="992">
        <v>150887</v>
      </c>
      <c r="AJ13" s="992">
        <v>115883</v>
      </c>
      <c r="AK13" s="1017">
        <v>121468</v>
      </c>
      <c r="AL13" s="992">
        <v>100311</v>
      </c>
      <c r="AM13" s="992">
        <v>159625</v>
      </c>
      <c r="AN13" s="992">
        <v>115805</v>
      </c>
      <c r="AO13" s="1017">
        <v>149179</v>
      </c>
      <c r="AP13" s="992">
        <v>194004</v>
      </c>
      <c r="AQ13" s="992">
        <v>159043</v>
      </c>
      <c r="AR13" s="992">
        <v>139741</v>
      </c>
      <c r="AS13" s="992">
        <v>187220</v>
      </c>
      <c r="AT13" s="1018">
        <v>176307</v>
      </c>
      <c r="AU13" s="1017">
        <v>144677</v>
      </c>
      <c r="AV13" s="1017">
        <v>130781</v>
      </c>
      <c r="AW13" s="1017">
        <v>166952</v>
      </c>
      <c r="AX13" s="1019"/>
      <c r="AY13" s="1020">
        <v>1151776</v>
      </c>
      <c r="AZ13" s="1018">
        <v>886420</v>
      </c>
      <c r="BA13" s="992">
        <v>265356</v>
      </c>
      <c r="BB13" s="976">
        <v>0.29935696396741951</v>
      </c>
      <c r="BC13" s="1021"/>
      <c r="BD13" s="1018">
        <v>1151776</v>
      </c>
      <c r="BE13" s="1018">
        <v>886420</v>
      </c>
      <c r="BF13" s="1018">
        <v>790656</v>
      </c>
      <c r="BG13" s="1018">
        <v>820824</v>
      </c>
      <c r="BH13" s="1018">
        <v>620983</v>
      </c>
      <c r="BI13" s="1018">
        <v>661159</v>
      </c>
      <c r="BJ13" s="1018">
        <v>525896</v>
      </c>
      <c r="BK13" s="1018">
        <v>524920</v>
      </c>
      <c r="BL13" s="1018">
        <v>680008</v>
      </c>
      <c r="BM13" s="1018">
        <v>618717</v>
      </c>
      <c r="BN13" s="1018">
        <v>464385</v>
      </c>
      <c r="BO13" s="1018">
        <v>360022</v>
      </c>
      <c r="BP13" s="1018">
        <v>339600</v>
      </c>
      <c r="BQ13" s="972"/>
    </row>
    <row r="14" spans="1:69" ht="12.75" customHeight="1" x14ac:dyDescent="0.2">
      <c r="A14" s="969"/>
      <c r="B14" s="969" t="s">
        <v>6</v>
      </c>
      <c r="C14" s="2400">
        <v>1070</v>
      </c>
      <c r="D14" s="2401">
        <v>0.72005383580080751</v>
      </c>
      <c r="E14" s="927"/>
      <c r="F14" s="916">
        <v>0</v>
      </c>
      <c r="G14" s="916">
        <v>0</v>
      </c>
      <c r="H14" s="916">
        <v>0</v>
      </c>
      <c r="I14" s="2417">
        <v>2556</v>
      </c>
      <c r="J14" s="974">
        <v>-4589</v>
      </c>
      <c r="K14" s="992">
        <v>-4231</v>
      </c>
      <c r="L14" s="992">
        <v>1930</v>
      </c>
      <c r="M14" s="1017">
        <v>1486</v>
      </c>
      <c r="N14" s="992">
        <v>-2048</v>
      </c>
      <c r="O14" s="992">
        <v>-4041</v>
      </c>
      <c r="P14" s="992">
        <v>7331</v>
      </c>
      <c r="Q14" s="1017">
        <v>4419</v>
      </c>
      <c r="R14" s="992">
        <v>6091</v>
      </c>
      <c r="S14" s="992">
        <v>6086</v>
      </c>
      <c r="T14" s="992">
        <v>-876</v>
      </c>
      <c r="U14" s="1017">
        <v>1230</v>
      </c>
      <c r="V14" s="992">
        <v>-437</v>
      </c>
      <c r="W14" s="992">
        <v>2857</v>
      </c>
      <c r="X14" s="992">
        <v>-3470</v>
      </c>
      <c r="Y14" s="1017">
        <v>-3877</v>
      </c>
      <c r="Z14" s="992">
        <v>1755</v>
      </c>
      <c r="AA14" s="992">
        <v>2536</v>
      </c>
      <c r="AB14" s="992">
        <v>-1618</v>
      </c>
      <c r="AC14" s="1017">
        <v>2554</v>
      </c>
      <c r="AD14" s="992">
        <v>16993</v>
      </c>
      <c r="AE14" s="992">
        <v>18919</v>
      </c>
      <c r="AF14" s="992">
        <v>4358</v>
      </c>
      <c r="AG14" s="1017">
        <v>2459</v>
      </c>
      <c r="AH14" s="992">
        <v>-2051</v>
      </c>
      <c r="AI14" s="992">
        <v>7197</v>
      </c>
      <c r="AJ14" s="992">
        <v>1115</v>
      </c>
      <c r="AK14" s="1017">
        <v>6883</v>
      </c>
      <c r="AL14" s="992">
        <v>3019</v>
      </c>
      <c r="AM14" s="992">
        <v>-10059</v>
      </c>
      <c r="AN14" s="992">
        <v>422</v>
      </c>
      <c r="AO14" s="1017">
        <v>7070</v>
      </c>
      <c r="AP14" s="992">
        <v>-15404</v>
      </c>
      <c r="AQ14" s="992">
        <v>9263</v>
      </c>
      <c r="AR14" s="992">
        <v>6717</v>
      </c>
      <c r="AS14" s="992">
        <v>19621</v>
      </c>
      <c r="AT14" s="1018">
        <v>14120</v>
      </c>
      <c r="AU14" s="1017">
        <v>9944</v>
      </c>
      <c r="AV14" s="1017">
        <v>7444</v>
      </c>
      <c r="AW14" s="1017">
        <v>13233</v>
      </c>
      <c r="AX14" s="1019"/>
      <c r="AY14" s="1020">
        <v>-5404</v>
      </c>
      <c r="AZ14" s="1018">
        <v>5661</v>
      </c>
      <c r="BA14" s="992">
        <v>-11065</v>
      </c>
      <c r="BB14" s="976">
        <v>-1.9546016604840135</v>
      </c>
      <c r="BC14" s="1021"/>
      <c r="BD14" s="1018">
        <v>-5404</v>
      </c>
      <c r="BE14" s="1018">
        <v>5661</v>
      </c>
      <c r="BF14" s="1018">
        <v>12531</v>
      </c>
      <c r="BG14" s="1018">
        <v>-4927</v>
      </c>
      <c r="BH14" s="1018">
        <v>5227</v>
      </c>
      <c r="BI14" s="1018">
        <v>42729</v>
      </c>
      <c r="BJ14" s="1018">
        <v>13144</v>
      </c>
      <c r="BK14" s="1018">
        <v>452</v>
      </c>
      <c r="BL14" s="1018">
        <v>20197</v>
      </c>
      <c r="BM14" s="1018">
        <v>44741</v>
      </c>
      <c r="BN14" s="1018">
        <v>37880</v>
      </c>
      <c r="BO14" s="1018">
        <v>24177</v>
      </c>
      <c r="BP14" s="1018">
        <v>22128</v>
      </c>
      <c r="BQ14" s="972"/>
    </row>
    <row r="15" spans="1:69" ht="12.75" customHeight="1" x14ac:dyDescent="0.2">
      <c r="A15" s="969"/>
      <c r="B15" s="969" t="s">
        <v>7</v>
      </c>
      <c r="C15" s="2400">
        <v>-3506</v>
      </c>
      <c r="D15" s="2401">
        <v>-0.31986132652130278</v>
      </c>
      <c r="E15" s="927"/>
      <c r="F15" s="916">
        <v>0</v>
      </c>
      <c r="G15" s="916">
        <v>0</v>
      </c>
      <c r="H15" s="916">
        <v>0</v>
      </c>
      <c r="I15" s="2417">
        <v>7455</v>
      </c>
      <c r="J15" s="974">
        <v>-22709</v>
      </c>
      <c r="K15" s="992">
        <v>-346388</v>
      </c>
      <c r="L15" s="992">
        <v>-431</v>
      </c>
      <c r="M15" s="1017">
        <v>10961</v>
      </c>
      <c r="N15" s="992">
        <v>-26322</v>
      </c>
      <c r="O15" s="992">
        <v>-21479</v>
      </c>
      <c r="P15" s="992">
        <v>17614</v>
      </c>
      <c r="Q15" s="1017">
        <v>18869</v>
      </c>
      <c r="R15" s="992">
        <v>25920</v>
      </c>
      <c r="S15" s="992">
        <v>18334</v>
      </c>
      <c r="T15" s="992">
        <v>-80</v>
      </c>
      <c r="U15" s="1017">
        <v>7883</v>
      </c>
      <c r="V15" s="992">
        <v>6424</v>
      </c>
      <c r="W15" s="992">
        <v>10264</v>
      </c>
      <c r="X15" s="992">
        <v>-14841</v>
      </c>
      <c r="Y15" s="1017">
        <v>-20622</v>
      </c>
      <c r="Z15" s="992">
        <v>-31794</v>
      </c>
      <c r="AA15" s="992">
        <v>2531</v>
      </c>
      <c r="AB15" s="992">
        <v>-5278</v>
      </c>
      <c r="AC15" s="1017">
        <v>13195</v>
      </c>
      <c r="AD15" s="992">
        <v>41323</v>
      </c>
      <c r="AE15" s="992">
        <v>42997</v>
      </c>
      <c r="AF15" s="992">
        <v>10251</v>
      </c>
      <c r="AG15" s="1017">
        <v>5172</v>
      </c>
      <c r="AH15" s="992">
        <v>7526</v>
      </c>
      <c r="AI15" s="992">
        <v>15113</v>
      </c>
      <c r="AJ15" s="992">
        <v>6746</v>
      </c>
      <c r="AK15" s="1017">
        <v>9112</v>
      </c>
      <c r="AL15" s="992">
        <v>3666</v>
      </c>
      <c r="AM15" s="992">
        <v>-62378</v>
      </c>
      <c r="AN15" s="992">
        <v>-5398</v>
      </c>
      <c r="AO15" s="1017">
        <v>16459</v>
      </c>
      <c r="AP15" s="992">
        <v>-35154</v>
      </c>
      <c r="AQ15" s="992">
        <v>15048</v>
      </c>
      <c r="AR15" s="992">
        <v>12411</v>
      </c>
      <c r="AS15" s="992">
        <v>39029</v>
      </c>
      <c r="AT15" s="1018">
        <v>26016</v>
      </c>
      <c r="AU15" s="1017">
        <v>23692</v>
      </c>
      <c r="AV15" s="1017">
        <v>17806</v>
      </c>
      <c r="AW15" s="1017">
        <v>25942</v>
      </c>
      <c r="AX15" s="1019"/>
      <c r="AY15" s="1020">
        <v>-358567</v>
      </c>
      <c r="AZ15" s="1018">
        <v>-11318</v>
      </c>
      <c r="BA15" s="992">
        <v>-347249</v>
      </c>
      <c r="BB15" s="976" t="s">
        <v>42</v>
      </c>
      <c r="BC15" s="1021"/>
      <c r="BD15" s="1018">
        <v>-358567</v>
      </c>
      <c r="BE15" s="1018">
        <v>-11318</v>
      </c>
      <c r="BF15" s="1018">
        <v>52057</v>
      </c>
      <c r="BG15" s="1018">
        <v>-18775</v>
      </c>
      <c r="BH15" s="1018">
        <v>-21346</v>
      </c>
      <c r="BI15" s="1018">
        <v>99743</v>
      </c>
      <c r="BJ15" s="1018">
        <v>38497</v>
      </c>
      <c r="BK15" s="1018">
        <v>-47651</v>
      </c>
      <c r="BL15" s="1018">
        <v>31334</v>
      </c>
      <c r="BM15" s="1018">
        <v>93456</v>
      </c>
      <c r="BN15" s="1018">
        <v>81150</v>
      </c>
      <c r="BO15" s="1018">
        <v>48579</v>
      </c>
      <c r="BP15" s="1018">
        <v>40429</v>
      </c>
      <c r="BQ15" s="972"/>
    </row>
    <row r="16" spans="1:69" ht="12.75" customHeight="1" x14ac:dyDescent="0.2">
      <c r="A16" s="969"/>
      <c r="B16" s="969" t="s">
        <v>362</v>
      </c>
      <c r="C16" s="2400">
        <v>-3732</v>
      </c>
      <c r="D16" s="2401">
        <v>-0.35836374111772612</v>
      </c>
      <c r="E16" s="927"/>
      <c r="F16" s="916">
        <v>0</v>
      </c>
      <c r="G16" s="916">
        <v>0</v>
      </c>
      <c r="H16" s="916">
        <v>0</v>
      </c>
      <c r="I16" s="2417">
        <v>6682</v>
      </c>
      <c r="J16" s="974">
        <v>-22503</v>
      </c>
      <c r="K16" s="992">
        <v>-346277</v>
      </c>
      <c r="L16" s="992">
        <v>-105</v>
      </c>
      <c r="M16" s="1017">
        <v>10414</v>
      </c>
      <c r="N16" s="992">
        <v>-26994</v>
      </c>
      <c r="O16" s="992">
        <v>-21380</v>
      </c>
      <c r="P16" s="992">
        <v>17109</v>
      </c>
      <c r="Q16" s="1017">
        <v>18081</v>
      </c>
      <c r="R16" s="992">
        <v>25734</v>
      </c>
      <c r="S16" s="992">
        <v>17321</v>
      </c>
      <c r="T16" s="992">
        <v>-383</v>
      </c>
      <c r="U16" s="1017">
        <v>8741</v>
      </c>
      <c r="V16" s="992">
        <v>6830</v>
      </c>
      <c r="W16" s="992">
        <v>10880</v>
      </c>
      <c r="X16" s="992">
        <v>-14562</v>
      </c>
      <c r="Y16" s="1017">
        <v>-19967</v>
      </c>
      <c r="Z16" s="992">
        <v>-31250</v>
      </c>
      <c r="AA16" s="992">
        <v>3026</v>
      </c>
      <c r="AB16" s="992">
        <v>-5278</v>
      </c>
      <c r="AC16" s="1017">
        <v>13195</v>
      </c>
      <c r="AD16" s="992">
        <v>41323</v>
      </c>
      <c r="AE16" s="992">
        <v>42997</v>
      </c>
      <c r="AF16" s="992">
        <v>10251</v>
      </c>
      <c r="AG16" s="1017">
        <v>5172</v>
      </c>
      <c r="AH16" s="992">
        <v>7526</v>
      </c>
      <c r="AI16" s="992">
        <v>15113</v>
      </c>
      <c r="AJ16" s="992"/>
      <c r="AK16" s="1017"/>
      <c r="AL16" s="992"/>
      <c r="AM16" s="992"/>
      <c r="AN16" s="992"/>
      <c r="AO16" s="1017"/>
      <c r="AP16" s="992"/>
      <c r="AQ16" s="992"/>
      <c r="AR16" s="992"/>
      <c r="AS16" s="992"/>
      <c r="AT16" s="1018"/>
      <c r="AU16" s="1017"/>
      <c r="AV16" s="1017"/>
      <c r="AW16" s="1017"/>
      <c r="AX16" s="1019"/>
      <c r="AY16" s="1020">
        <v>-358471</v>
      </c>
      <c r="AZ16" s="1018">
        <v>-13184</v>
      </c>
      <c r="BA16" s="992">
        <v>-345287</v>
      </c>
      <c r="BB16" s="976" t="s">
        <v>42</v>
      </c>
      <c r="BC16" s="1021"/>
      <c r="BD16" s="1018">
        <v>-358471</v>
      </c>
      <c r="BE16" s="1018">
        <v>-13184</v>
      </c>
      <c r="BF16" s="1018">
        <v>51413</v>
      </c>
      <c r="BG16" s="1018">
        <v>-16819</v>
      </c>
      <c r="BH16" s="1018">
        <v>-20307</v>
      </c>
      <c r="BI16" s="1018">
        <v>99743</v>
      </c>
      <c r="BJ16" s="1018">
        <f>BJ17</f>
        <v>38497</v>
      </c>
      <c r="BK16" s="1018">
        <f>BK17</f>
        <v>-47651</v>
      </c>
      <c r="BL16" s="1018">
        <f>BL17</f>
        <v>31334</v>
      </c>
      <c r="BM16" s="1018">
        <f>BM17</f>
        <v>93456</v>
      </c>
      <c r="BN16" s="1018"/>
      <c r="BO16" s="1018"/>
      <c r="BP16" s="1018"/>
      <c r="BQ16" s="972"/>
    </row>
    <row r="17" spans="1:69" ht="12.75" customHeight="1" x14ac:dyDescent="0.2">
      <c r="A17" s="969"/>
      <c r="B17" s="969" t="s">
        <v>372</v>
      </c>
      <c r="C17" s="2400">
        <v>-3733</v>
      </c>
      <c r="D17" s="2401">
        <v>-0.50337108953613807</v>
      </c>
      <c r="E17" s="927"/>
      <c r="F17" s="916">
        <v>0</v>
      </c>
      <c r="G17" s="916">
        <v>0</v>
      </c>
      <c r="H17" s="916">
        <v>0</v>
      </c>
      <c r="I17" s="2417">
        <v>3683</v>
      </c>
      <c r="J17" s="974">
        <v>-25501</v>
      </c>
      <c r="K17" s="992">
        <v>-349275</v>
      </c>
      <c r="L17" s="992">
        <v>-3103</v>
      </c>
      <c r="M17" s="1017">
        <v>7416</v>
      </c>
      <c r="N17" s="992">
        <v>-29992</v>
      </c>
      <c r="O17" s="992">
        <v>-24340</v>
      </c>
      <c r="P17" s="992">
        <v>14188</v>
      </c>
      <c r="Q17" s="1017">
        <v>15083</v>
      </c>
      <c r="R17" s="992">
        <v>22774</v>
      </c>
      <c r="S17" s="992">
        <v>14400</v>
      </c>
      <c r="T17" s="992">
        <v>-3304</v>
      </c>
      <c r="U17" s="1017">
        <v>5781</v>
      </c>
      <c r="V17" s="992">
        <v>3943</v>
      </c>
      <c r="W17" s="992">
        <v>7882</v>
      </c>
      <c r="X17" s="992">
        <v>-17560</v>
      </c>
      <c r="Y17" s="1017">
        <v>-22804</v>
      </c>
      <c r="Z17" s="992">
        <v>-32357</v>
      </c>
      <c r="AA17" s="992">
        <v>1208</v>
      </c>
      <c r="AB17" s="992">
        <v>-7078</v>
      </c>
      <c r="AC17" s="1017">
        <v>13105</v>
      </c>
      <c r="AD17" s="992">
        <v>41323</v>
      </c>
      <c r="AE17" s="992">
        <v>42997</v>
      </c>
      <c r="AF17" s="992">
        <v>10251</v>
      </c>
      <c r="AG17" s="1017">
        <v>5172</v>
      </c>
      <c r="AH17" s="992">
        <v>7526</v>
      </c>
      <c r="AI17" s="992">
        <v>15113</v>
      </c>
      <c r="AJ17" s="992">
        <v>6746</v>
      </c>
      <c r="AK17" s="1017"/>
      <c r="AL17" s="992"/>
      <c r="AM17" s="992"/>
      <c r="AN17" s="992"/>
      <c r="AO17" s="1017"/>
      <c r="AP17" s="992"/>
      <c r="AQ17" s="992"/>
      <c r="AR17" s="992"/>
      <c r="AS17" s="992"/>
      <c r="AT17" s="1018"/>
      <c r="AU17" s="1017"/>
      <c r="AV17" s="1017"/>
      <c r="AW17" s="1017"/>
      <c r="AX17" s="1019"/>
      <c r="AY17" s="1020">
        <v>-370463</v>
      </c>
      <c r="AZ17" s="1018">
        <v>-25061</v>
      </c>
      <c r="BA17" s="992">
        <v>-345402</v>
      </c>
      <c r="BB17" s="976" t="s">
        <v>42</v>
      </c>
      <c r="BC17" s="1021"/>
      <c r="BD17" s="1018">
        <v>-370463</v>
      </c>
      <c r="BE17" s="1018">
        <v>-25061</v>
      </c>
      <c r="BF17" s="1018">
        <v>39651</v>
      </c>
      <c r="BG17" s="1018">
        <v>-28539</v>
      </c>
      <c r="BH17" s="1018">
        <v>-25122</v>
      </c>
      <c r="BI17" s="1018">
        <v>99743</v>
      </c>
      <c r="BJ17" s="1018">
        <f>'2 Consolidated IS'!BJ50</f>
        <v>38497</v>
      </c>
      <c r="BK17" s="1018">
        <f>'2 Consolidated IS'!BK50</f>
        <v>-47651</v>
      </c>
      <c r="BL17" s="1018">
        <f>'2 Consolidated IS'!BL50</f>
        <v>31334</v>
      </c>
      <c r="BM17" s="1018">
        <f>'2 Consolidated IS'!BM50</f>
        <v>93456</v>
      </c>
      <c r="BN17" s="1018"/>
      <c r="BO17" s="1018"/>
      <c r="BP17" s="1018"/>
      <c r="BQ17" s="972"/>
    </row>
    <row r="18" spans="1:69" ht="9.75" customHeight="1" x14ac:dyDescent="0.2">
      <c r="A18" s="969"/>
      <c r="B18" s="969"/>
      <c r="C18" s="2400"/>
      <c r="D18" s="2402"/>
      <c r="E18" s="927"/>
      <c r="F18" s="2371"/>
      <c r="G18" s="2371"/>
      <c r="H18" s="916"/>
      <c r="I18" s="2417"/>
      <c r="J18" s="2269"/>
      <c r="K18" s="1023"/>
      <c r="L18" s="992"/>
      <c r="M18" s="1017"/>
      <c r="N18" s="1022"/>
      <c r="O18" s="1023"/>
      <c r="P18" s="992"/>
      <c r="Q18" s="1017"/>
      <c r="R18" s="1022"/>
      <c r="S18" s="1023"/>
      <c r="T18" s="992"/>
      <c r="U18" s="1017"/>
      <c r="V18" s="1022"/>
      <c r="W18" s="1023"/>
      <c r="X18" s="992"/>
      <c r="Y18" s="1017"/>
      <c r="Z18" s="1022"/>
      <c r="AA18" s="1023"/>
      <c r="AB18" s="992"/>
      <c r="AC18" s="1017"/>
      <c r="AD18" s="1022"/>
      <c r="AE18" s="1023"/>
      <c r="AF18" s="992"/>
      <c r="AG18" s="1017"/>
      <c r="AH18" s="1022"/>
      <c r="AI18" s="1022"/>
      <c r="AJ18" s="992"/>
      <c r="AK18" s="1017"/>
      <c r="AL18" s="1022"/>
      <c r="AM18" s="1022"/>
      <c r="AN18" s="992"/>
      <c r="AO18" s="1017"/>
      <c r="AP18" s="992"/>
      <c r="AQ18" s="992"/>
      <c r="AR18" s="992"/>
      <c r="AS18" s="992"/>
      <c r="AT18" s="1018"/>
      <c r="AU18" s="1017"/>
      <c r="AV18" s="1017"/>
      <c r="AW18" s="1017"/>
      <c r="AX18" s="1019"/>
      <c r="AY18" s="989"/>
      <c r="AZ18" s="989"/>
      <c r="BA18" s="992"/>
      <c r="BB18" s="976"/>
      <c r="BC18" s="1021"/>
      <c r="BD18" s="1018"/>
      <c r="BE18" s="1018"/>
      <c r="BF18" s="1018"/>
      <c r="BG18" s="1018"/>
      <c r="BH18" s="1018"/>
      <c r="BI18" s="1018"/>
      <c r="BJ18" s="1018"/>
      <c r="BK18" s="1018"/>
      <c r="BL18" s="1018"/>
      <c r="BM18" s="1018"/>
      <c r="BN18" s="1024"/>
      <c r="BO18" s="1024"/>
      <c r="BP18" s="1024"/>
      <c r="BQ18" s="972"/>
    </row>
    <row r="19" spans="1:69" ht="12.75" customHeight="1" x14ac:dyDescent="0.2">
      <c r="A19" s="970" t="s">
        <v>8</v>
      </c>
      <c r="B19" s="969"/>
      <c r="C19" s="2400"/>
      <c r="D19" s="2402"/>
      <c r="E19" s="927"/>
      <c r="F19" s="929"/>
      <c r="G19" s="929"/>
      <c r="H19" s="916"/>
      <c r="I19" s="2417"/>
      <c r="J19" s="1164"/>
      <c r="K19" s="1022"/>
      <c r="L19" s="992"/>
      <c r="M19" s="1017"/>
      <c r="N19" s="1022"/>
      <c r="O19" s="1022"/>
      <c r="P19" s="992"/>
      <c r="Q19" s="1017"/>
      <c r="R19" s="1022"/>
      <c r="S19" s="1022"/>
      <c r="T19" s="992"/>
      <c r="U19" s="1017"/>
      <c r="V19" s="1022"/>
      <c r="W19" s="1022"/>
      <c r="X19" s="992"/>
      <c r="Y19" s="1017"/>
      <c r="Z19" s="1022"/>
      <c r="AA19" s="1022"/>
      <c r="AB19" s="992"/>
      <c r="AC19" s="1017"/>
      <c r="AD19" s="1022"/>
      <c r="AE19" s="1022"/>
      <c r="AF19" s="992"/>
      <c r="AG19" s="1017"/>
      <c r="AH19" s="1022"/>
      <c r="AI19" s="1022"/>
      <c r="AJ19" s="992"/>
      <c r="AK19" s="1017"/>
      <c r="AL19" s="1022"/>
      <c r="AM19" s="1022"/>
      <c r="AN19" s="992"/>
      <c r="AO19" s="1017"/>
      <c r="AP19" s="992"/>
      <c r="AQ19" s="992"/>
      <c r="AR19" s="992"/>
      <c r="AS19" s="992"/>
      <c r="AT19" s="1018"/>
      <c r="AU19" s="1017"/>
      <c r="AV19" s="1017"/>
      <c r="AW19" s="1017"/>
      <c r="AX19" s="1019"/>
      <c r="AY19" s="989"/>
      <c r="AZ19" s="989"/>
      <c r="BA19" s="992"/>
      <c r="BB19" s="976"/>
      <c r="BC19" s="1021"/>
      <c r="BD19" s="1018"/>
      <c r="BE19" s="1018"/>
      <c r="BF19" s="1018"/>
      <c r="BG19" s="1018"/>
      <c r="BH19" s="1018"/>
      <c r="BI19" s="1018"/>
      <c r="BJ19" s="1018"/>
      <c r="BK19" s="1018"/>
      <c r="BL19" s="1018"/>
      <c r="BM19" s="1018"/>
      <c r="BN19" s="1018"/>
      <c r="BO19" s="1018"/>
      <c r="BP19" s="1018"/>
      <c r="BQ19" s="972"/>
    </row>
    <row r="20" spans="1:69" ht="12.75" customHeight="1" x14ac:dyDescent="0.2">
      <c r="A20" s="971"/>
      <c r="B20" s="969" t="s">
        <v>9</v>
      </c>
      <c r="C20" s="2400">
        <v>-345306</v>
      </c>
      <c r="D20" s="2401">
        <v>-7.7975112077396574E-2</v>
      </c>
      <c r="E20" s="927"/>
      <c r="F20" s="916">
        <v>0</v>
      </c>
      <c r="G20" s="916">
        <v>0</v>
      </c>
      <c r="H20" s="916">
        <v>0</v>
      </c>
      <c r="I20" s="2417">
        <v>4083107</v>
      </c>
      <c r="J20" s="974">
        <v>3424546</v>
      </c>
      <c r="K20" s="992">
        <v>2763315</v>
      </c>
      <c r="L20" s="992">
        <v>3981552</v>
      </c>
      <c r="M20" s="1017">
        <v>4428413</v>
      </c>
      <c r="N20" s="992">
        <v>4369905</v>
      </c>
      <c r="O20" s="992">
        <v>3930036</v>
      </c>
      <c r="P20" s="992">
        <v>4719202</v>
      </c>
      <c r="Q20" s="1017">
        <v>4371138</v>
      </c>
      <c r="R20" s="992">
        <v>5014622</v>
      </c>
      <c r="S20" s="992">
        <v>4122920</v>
      </c>
      <c r="T20" s="992">
        <v>4245682</v>
      </c>
      <c r="U20" s="1017">
        <v>5327433</v>
      </c>
      <c r="V20" s="992">
        <v>4603502</v>
      </c>
      <c r="W20" s="1025">
        <v>4977201</v>
      </c>
      <c r="X20" s="992">
        <v>5102481</v>
      </c>
      <c r="Y20" s="1017">
        <v>5105838</v>
      </c>
      <c r="Z20" s="992">
        <v>5762723</v>
      </c>
      <c r="AA20" s="992">
        <v>4439877</v>
      </c>
      <c r="AB20" s="992">
        <v>5665166</v>
      </c>
      <c r="AC20" s="1017">
        <v>4429105</v>
      </c>
      <c r="AD20" s="992">
        <v>5097500</v>
      </c>
      <c r="AE20" s="992">
        <v>4555884</v>
      </c>
      <c r="AF20" s="992">
        <v>5261916</v>
      </c>
      <c r="AG20" s="1017">
        <v>3961904</v>
      </c>
      <c r="AH20" s="992">
        <v>3123848</v>
      </c>
      <c r="AI20" s="992">
        <v>2583857</v>
      </c>
      <c r="AJ20" s="992">
        <v>3407005</v>
      </c>
      <c r="AK20" s="1017">
        <v>2184790</v>
      </c>
      <c r="AL20" s="992">
        <v>2022099</v>
      </c>
      <c r="AM20" s="992">
        <v>1679685</v>
      </c>
      <c r="AN20" s="992">
        <v>1942070</v>
      </c>
      <c r="AO20" s="1017">
        <v>2333893</v>
      </c>
      <c r="AP20" s="992">
        <v>2098718</v>
      </c>
      <c r="AQ20" s="992">
        <v>1972741</v>
      </c>
      <c r="AR20" s="992">
        <v>2525725</v>
      </c>
      <c r="AS20" s="992">
        <v>2693627</v>
      </c>
      <c r="AT20" s="1018">
        <v>2609942</v>
      </c>
      <c r="AU20" s="1017">
        <v>1794143</v>
      </c>
      <c r="AV20" s="1017">
        <v>1665413</v>
      </c>
      <c r="AW20" s="1017">
        <v>1789397</v>
      </c>
      <c r="AX20" s="1019"/>
      <c r="AY20" s="1026">
        <v>3424546</v>
      </c>
      <c r="AZ20" s="1018">
        <v>4369905</v>
      </c>
      <c r="BA20" s="992">
        <v>-945359</v>
      </c>
      <c r="BB20" s="976">
        <v>-0.21633399353075181</v>
      </c>
      <c r="BC20" s="1021"/>
      <c r="BD20" s="1018">
        <v>3424546</v>
      </c>
      <c r="BE20" s="1018">
        <v>4369905</v>
      </c>
      <c r="BF20" s="1018">
        <v>5014622</v>
      </c>
      <c r="BG20" s="1018">
        <v>4603502</v>
      </c>
      <c r="BH20" s="1018">
        <v>5762723</v>
      </c>
      <c r="BI20" s="1018">
        <v>5097500</v>
      </c>
      <c r="BJ20" s="1018">
        <v>3123848</v>
      </c>
      <c r="BK20" s="1018">
        <v>2022099</v>
      </c>
      <c r="BL20" s="1018">
        <v>2098718</v>
      </c>
      <c r="BM20" s="1018">
        <v>2609942</v>
      </c>
      <c r="BN20" s="1018">
        <v>2177973</v>
      </c>
      <c r="BO20" s="1018">
        <v>1638165</v>
      </c>
      <c r="BP20" s="1018">
        <v>1508366</v>
      </c>
      <c r="BQ20" s="972"/>
    </row>
    <row r="21" spans="1:69" ht="12.75" customHeight="1" x14ac:dyDescent="0.2">
      <c r="A21" s="971"/>
      <c r="B21" s="969" t="s">
        <v>10</v>
      </c>
      <c r="C21" s="2400">
        <v>48677</v>
      </c>
      <c r="D21" s="2401">
        <v>1.4800569194188868E-2</v>
      </c>
      <c r="E21" s="927"/>
      <c r="F21" s="916">
        <v>0</v>
      </c>
      <c r="G21" s="916">
        <v>0</v>
      </c>
      <c r="H21" s="916">
        <v>0</v>
      </c>
      <c r="I21" s="2417">
        <v>3337537</v>
      </c>
      <c r="J21" s="974">
        <v>2665895</v>
      </c>
      <c r="K21" s="992">
        <v>1962623</v>
      </c>
      <c r="L21" s="992">
        <v>2841706</v>
      </c>
      <c r="M21" s="992">
        <v>3288860</v>
      </c>
      <c r="N21" s="974">
        <v>3242088</v>
      </c>
      <c r="O21" s="992">
        <v>2812476</v>
      </c>
      <c r="P21" s="992">
        <v>3562261</v>
      </c>
      <c r="Q21" s="1017">
        <v>3232024</v>
      </c>
      <c r="R21" s="992">
        <v>3831030</v>
      </c>
      <c r="S21" s="992">
        <v>2991414</v>
      </c>
      <c r="T21" s="992">
        <v>3150694</v>
      </c>
      <c r="U21" s="1017">
        <v>4246564</v>
      </c>
      <c r="V21" s="992">
        <v>3538170</v>
      </c>
      <c r="W21" s="1025">
        <v>3910105</v>
      </c>
      <c r="X21" s="992">
        <v>4052592</v>
      </c>
      <c r="Y21" s="1017">
        <v>4030987</v>
      </c>
      <c r="Z21" s="992">
        <v>4753144</v>
      </c>
      <c r="AA21" s="992">
        <v>3569364</v>
      </c>
      <c r="AB21" s="992">
        <v>4801673</v>
      </c>
      <c r="AC21" s="1017">
        <v>3580864</v>
      </c>
      <c r="AD21" s="992">
        <v>4340608</v>
      </c>
      <c r="AE21" s="992">
        <v>3831158</v>
      </c>
      <c r="AF21" s="992">
        <v>4581386</v>
      </c>
      <c r="AG21" s="1017">
        <v>3290908</v>
      </c>
      <c r="AH21" s="992">
        <v>2722103</v>
      </c>
      <c r="AI21" s="992">
        <v>2183190</v>
      </c>
      <c r="AJ21" s="992">
        <v>3018780</v>
      </c>
      <c r="AK21" s="1017">
        <v>1799394</v>
      </c>
      <c r="AL21" s="992">
        <v>1649395</v>
      </c>
      <c r="AM21" s="992">
        <v>1321724</v>
      </c>
      <c r="AN21" s="992">
        <v>1527762</v>
      </c>
      <c r="AO21" s="1017">
        <v>1893991</v>
      </c>
      <c r="AP21" s="992">
        <v>1741274</v>
      </c>
      <c r="AQ21" s="992">
        <v>1582513</v>
      </c>
      <c r="AR21" s="992">
        <v>2143412</v>
      </c>
      <c r="AS21" s="992">
        <v>2304386</v>
      </c>
      <c r="AT21" s="1018">
        <v>2237751</v>
      </c>
      <c r="AU21" s="1017">
        <v>1438915</v>
      </c>
      <c r="AV21" s="1017">
        <v>1338324</v>
      </c>
      <c r="AW21" s="1017">
        <v>1478199</v>
      </c>
      <c r="AX21" s="1019"/>
      <c r="AY21" s="1026">
        <v>2665895</v>
      </c>
      <c r="AZ21" s="1018">
        <v>3242088</v>
      </c>
      <c r="BA21" s="992">
        <v>-576193</v>
      </c>
      <c r="BB21" s="976">
        <v>-0.17772281319939495</v>
      </c>
      <c r="BC21" s="1021"/>
      <c r="BD21" s="1018">
        <v>2665895</v>
      </c>
      <c r="BE21" s="1018">
        <v>3242088</v>
      </c>
      <c r="BF21" s="1018">
        <v>3831030</v>
      </c>
      <c r="BG21" s="1018">
        <v>3538170</v>
      </c>
      <c r="BH21" s="1018">
        <v>4753144</v>
      </c>
      <c r="BI21" s="1018">
        <v>4340608</v>
      </c>
      <c r="BJ21" s="1018">
        <v>2722103</v>
      </c>
      <c r="BK21" s="1018">
        <v>1649395</v>
      </c>
      <c r="BL21" s="1018">
        <v>1741274</v>
      </c>
      <c r="BM21" s="1018">
        <v>2237751</v>
      </c>
      <c r="BN21" s="1018">
        <v>1890143</v>
      </c>
      <c r="BO21" s="1018">
        <v>1415954</v>
      </c>
      <c r="BP21" s="1018">
        <v>1409679</v>
      </c>
      <c r="BQ21" s="972"/>
    </row>
    <row r="22" spans="1:69" ht="12.75" customHeight="1" x14ac:dyDescent="0.2">
      <c r="A22" s="971"/>
      <c r="B22" s="969" t="s">
        <v>248</v>
      </c>
      <c r="C22" s="2400">
        <v>-1692</v>
      </c>
      <c r="D22" s="2401">
        <v>-0.1460635359116022</v>
      </c>
      <c r="E22" s="927"/>
      <c r="F22" s="2372">
        <v>0</v>
      </c>
      <c r="G22" s="2372">
        <v>0</v>
      </c>
      <c r="H22" s="2372">
        <v>0</v>
      </c>
      <c r="I22" s="2417">
        <v>9892</v>
      </c>
      <c r="J22" s="1061">
        <v>8722</v>
      </c>
      <c r="K22" s="1027">
        <v>11481</v>
      </c>
      <c r="L22" s="1027">
        <v>11361</v>
      </c>
      <c r="M22" s="1017">
        <v>11584</v>
      </c>
      <c r="N22" s="1027">
        <v>10275</v>
      </c>
      <c r="O22" s="1027">
        <v>9608</v>
      </c>
      <c r="P22" s="1027">
        <v>15130</v>
      </c>
      <c r="Q22" s="1017">
        <v>15821</v>
      </c>
      <c r="R22" s="1027">
        <v>14912</v>
      </c>
      <c r="S22" s="1027">
        <v>12110</v>
      </c>
      <c r="T22" s="1027">
        <v>12375</v>
      </c>
      <c r="U22" s="1017">
        <v>12244</v>
      </c>
      <c r="V22" s="1027">
        <v>16169</v>
      </c>
      <c r="W22" s="1028">
        <v>15913</v>
      </c>
      <c r="X22" s="1027">
        <v>16047</v>
      </c>
      <c r="Y22" s="1017">
        <v>16882</v>
      </c>
      <c r="Z22" s="1027">
        <v>17454</v>
      </c>
      <c r="AA22" s="1027">
        <v>18218</v>
      </c>
      <c r="AB22" s="1029">
        <v>0</v>
      </c>
      <c r="AC22" s="1030">
        <v>0</v>
      </c>
      <c r="AD22" s="1029">
        <v>0</v>
      </c>
      <c r="AE22" s="1029">
        <v>0</v>
      </c>
      <c r="AF22" s="1029">
        <v>0</v>
      </c>
      <c r="AG22" s="1030">
        <v>0</v>
      </c>
      <c r="AH22" s="1029">
        <v>0</v>
      </c>
      <c r="AI22" s="1029">
        <v>0</v>
      </c>
      <c r="AJ22" s="992"/>
      <c r="AK22" s="1017"/>
      <c r="AL22" s="992"/>
      <c r="AM22" s="992"/>
      <c r="AN22" s="992"/>
      <c r="AO22" s="1017"/>
      <c r="AP22" s="992"/>
      <c r="AQ22" s="992"/>
      <c r="AR22" s="992"/>
      <c r="AS22" s="992"/>
      <c r="AT22" s="1018"/>
      <c r="AU22" s="1017"/>
      <c r="AV22" s="1017"/>
      <c r="AW22" s="1017"/>
      <c r="AX22" s="1019"/>
      <c r="AY22" s="1026">
        <v>8722</v>
      </c>
      <c r="AZ22" s="1018">
        <v>10275</v>
      </c>
      <c r="BA22" s="992">
        <v>-1553</v>
      </c>
      <c r="BB22" s="976">
        <v>-0.15114355231143553</v>
      </c>
      <c r="BC22" s="1021"/>
      <c r="BD22" s="1018">
        <v>8722</v>
      </c>
      <c r="BE22" s="1018">
        <v>10275</v>
      </c>
      <c r="BF22" s="1018">
        <v>14912</v>
      </c>
      <c r="BG22" s="1018">
        <v>16169</v>
      </c>
      <c r="BH22" s="1018">
        <v>17454</v>
      </c>
      <c r="BI22" s="1031">
        <v>0</v>
      </c>
      <c r="BJ22" s="1031">
        <v>0</v>
      </c>
      <c r="BK22" s="1031">
        <v>0</v>
      </c>
      <c r="BL22" s="1031">
        <v>0</v>
      </c>
      <c r="BM22" s="1031">
        <v>0</v>
      </c>
      <c r="BN22" s="1018"/>
      <c r="BO22" s="1018"/>
      <c r="BP22" s="1018"/>
      <c r="BQ22" s="972"/>
    </row>
    <row r="23" spans="1:69" ht="12.75" customHeight="1" x14ac:dyDescent="0.2">
      <c r="A23" s="971"/>
      <c r="B23" s="969" t="s">
        <v>11</v>
      </c>
      <c r="C23" s="2400">
        <v>-392291</v>
      </c>
      <c r="D23" s="2401">
        <v>-0.34778526714829927</v>
      </c>
      <c r="E23" s="927"/>
      <c r="F23" s="2372">
        <v>0</v>
      </c>
      <c r="G23" s="2372">
        <v>0</v>
      </c>
      <c r="H23" s="2372">
        <v>0</v>
      </c>
      <c r="I23" s="2417">
        <v>735678</v>
      </c>
      <c r="J23" s="1061">
        <v>749929</v>
      </c>
      <c r="K23" s="1027">
        <v>789211</v>
      </c>
      <c r="L23" s="1027">
        <v>1128485</v>
      </c>
      <c r="M23" s="1017">
        <v>1127969</v>
      </c>
      <c r="N23" s="1027">
        <v>1117542</v>
      </c>
      <c r="O23" s="1027">
        <v>1107952</v>
      </c>
      <c r="P23" s="1027">
        <v>1141811</v>
      </c>
      <c r="Q23" s="1017">
        <v>1123293</v>
      </c>
      <c r="R23" s="1027">
        <v>1168680</v>
      </c>
      <c r="S23" s="1027">
        <v>1119396</v>
      </c>
      <c r="T23" s="1027">
        <v>1082613</v>
      </c>
      <c r="U23" s="1017">
        <v>1068625</v>
      </c>
      <c r="V23" s="1027">
        <v>1049163</v>
      </c>
      <c r="W23" s="1028">
        <v>1051183</v>
      </c>
      <c r="X23" s="1027">
        <v>1033842</v>
      </c>
      <c r="Y23" s="1017">
        <v>1057969</v>
      </c>
      <c r="Z23" s="992">
        <v>992125</v>
      </c>
      <c r="AA23" s="992">
        <v>852295</v>
      </c>
      <c r="AB23" s="992">
        <v>863493</v>
      </c>
      <c r="AC23" s="1017">
        <v>848241</v>
      </c>
      <c r="AD23" s="992">
        <v>756892</v>
      </c>
      <c r="AE23" s="992">
        <v>724726</v>
      </c>
      <c r="AF23" s="992">
        <v>680530</v>
      </c>
      <c r="AG23" s="1017">
        <v>670996</v>
      </c>
      <c r="AH23" s="992">
        <v>401745</v>
      </c>
      <c r="AI23" s="992">
        <v>400667</v>
      </c>
      <c r="AJ23" s="992">
        <v>388225</v>
      </c>
      <c r="AK23" s="1017">
        <v>385396</v>
      </c>
      <c r="AL23" s="992">
        <v>372704</v>
      </c>
      <c r="AM23" s="992">
        <v>357961</v>
      </c>
      <c r="AN23" s="992">
        <v>414308</v>
      </c>
      <c r="AO23" s="1017">
        <v>439902</v>
      </c>
      <c r="AP23" s="992">
        <v>357444</v>
      </c>
      <c r="AQ23" s="992">
        <v>390228</v>
      </c>
      <c r="AR23" s="992">
        <v>382313</v>
      </c>
      <c r="AS23" s="992">
        <v>389241</v>
      </c>
      <c r="AT23" s="1018">
        <v>372191</v>
      </c>
      <c r="AU23" s="1017">
        <v>355228</v>
      </c>
      <c r="AV23" s="1017">
        <v>327089</v>
      </c>
      <c r="AW23" s="1017">
        <v>311198</v>
      </c>
      <c r="AX23" s="1019"/>
      <c r="AY23" s="1026">
        <v>749929</v>
      </c>
      <c r="AZ23" s="1018">
        <v>1117542</v>
      </c>
      <c r="BA23" s="992">
        <v>-367613</v>
      </c>
      <c r="BB23" s="976">
        <v>-0.32894781583153027</v>
      </c>
      <c r="BC23" s="1021"/>
      <c r="BD23" s="1018">
        <v>749929</v>
      </c>
      <c r="BE23" s="1018">
        <v>1117542</v>
      </c>
      <c r="BF23" s="1018">
        <v>1168680</v>
      </c>
      <c r="BG23" s="1018">
        <v>1049163</v>
      </c>
      <c r="BH23" s="1018">
        <v>992125</v>
      </c>
      <c r="BI23" s="1018">
        <v>756892</v>
      </c>
      <c r="BJ23" s="1018">
        <v>401745</v>
      </c>
      <c r="BK23" s="1018">
        <v>372704</v>
      </c>
      <c r="BL23" s="1018">
        <v>357444</v>
      </c>
      <c r="BM23" s="1018">
        <v>372191</v>
      </c>
      <c r="BN23" s="1018">
        <v>287830</v>
      </c>
      <c r="BO23" s="1018">
        <v>222211</v>
      </c>
      <c r="BP23" s="1018">
        <v>98687</v>
      </c>
      <c r="BQ23" s="972"/>
    </row>
    <row r="24" spans="1:69" ht="9.75" customHeight="1" x14ac:dyDescent="0.2">
      <c r="A24" s="971"/>
      <c r="B24" s="969"/>
      <c r="C24" s="2400"/>
      <c r="D24" s="2402"/>
      <c r="E24" s="927"/>
      <c r="F24" s="929"/>
      <c r="G24" s="929"/>
      <c r="H24" s="930"/>
      <c r="I24" s="2418"/>
      <c r="J24" s="1164"/>
      <c r="K24" s="1022"/>
      <c r="L24" s="989"/>
      <c r="M24" s="1032"/>
      <c r="N24" s="1022"/>
      <c r="O24" s="1022"/>
      <c r="P24" s="989"/>
      <c r="Q24" s="1032"/>
      <c r="R24" s="1022"/>
      <c r="S24" s="1022"/>
      <c r="T24" s="989"/>
      <c r="U24" s="1032"/>
      <c r="V24" s="1022"/>
      <c r="W24" s="1022"/>
      <c r="X24" s="989"/>
      <c r="Y24" s="1032"/>
      <c r="Z24" s="1022"/>
      <c r="AA24" s="1022"/>
      <c r="AB24" s="989"/>
      <c r="AC24" s="1032"/>
      <c r="AD24" s="1022"/>
      <c r="AE24" s="1022"/>
      <c r="AF24" s="989"/>
      <c r="AG24" s="1032"/>
      <c r="AH24" s="1022"/>
      <c r="AI24" s="1022"/>
      <c r="AJ24" s="989"/>
      <c r="AK24" s="1032"/>
      <c r="AL24" s="1022"/>
      <c r="AM24" s="1022"/>
      <c r="AN24" s="989"/>
      <c r="AO24" s="1032"/>
      <c r="AP24" s="992"/>
      <c r="AQ24" s="992"/>
      <c r="AR24" s="992"/>
      <c r="AS24" s="992"/>
      <c r="AT24" s="1018"/>
      <c r="AU24" s="1017"/>
      <c r="AV24" s="1017"/>
      <c r="AW24" s="1017"/>
      <c r="AX24" s="1019"/>
      <c r="AY24" s="989"/>
      <c r="AZ24" s="989"/>
      <c r="BA24" s="992"/>
      <c r="BB24" s="976"/>
      <c r="BC24" s="1021"/>
      <c r="BD24" s="1018"/>
      <c r="BE24" s="1018"/>
      <c r="BF24" s="1018"/>
      <c r="BG24" s="1018"/>
      <c r="BH24" s="1018"/>
      <c r="BI24" s="1018"/>
      <c r="BJ24" s="1018"/>
      <c r="BK24" s="1018"/>
      <c r="BL24" s="1018"/>
      <c r="BM24" s="1018"/>
      <c r="BN24" s="1033"/>
      <c r="BO24" s="1033"/>
      <c r="BP24" s="1033"/>
      <c r="BQ24" s="972"/>
    </row>
    <row r="25" spans="1:69" ht="12.75" customHeight="1" x14ac:dyDescent="0.2">
      <c r="A25" s="970" t="s">
        <v>265</v>
      </c>
      <c r="B25" s="969"/>
      <c r="C25" s="2400"/>
      <c r="D25" s="2402"/>
      <c r="E25" s="927"/>
      <c r="F25" s="929"/>
      <c r="G25" s="929"/>
      <c r="H25" s="930"/>
      <c r="I25" s="2418"/>
      <c r="J25" s="1164"/>
      <c r="K25" s="1022"/>
      <c r="L25" s="989"/>
      <c r="M25" s="1032"/>
      <c r="N25" s="1022"/>
      <c r="O25" s="1022"/>
      <c r="P25" s="989"/>
      <c r="Q25" s="1032"/>
      <c r="R25" s="1022"/>
      <c r="S25" s="1022"/>
      <c r="T25" s="989"/>
      <c r="U25" s="1032"/>
      <c r="V25" s="1022"/>
      <c r="W25" s="1022"/>
      <c r="X25" s="989"/>
      <c r="Y25" s="1032"/>
      <c r="Z25" s="1022"/>
      <c r="AA25" s="1022"/>
      <c r="AB25" s="989"/>
      <c r="AC25" s="1032"/>
      <c r="AD25" s="1022"/>
      <c r="AE25" s="1022"/>
      <c r="AF25" s="989"/>
      <c r="AG25" s="1032"/>
      <c r="AH25" s="1022"/>
      <c r="AI25" s="1022"/>
      <c r="AJ25" s="989"/>
      <c r="AK25" s="1032"/>
      <c r="AL25" s="1022"/>
      <c r="AM25" s="1022"/>
      <c r="AN25" s="989"/>
      <c r="AO25" s="1032"/>
      <c r="AP25" s="992"/>
      <c r="AQ25" s="992"/>
      <c r="AR25" s="992"/>
      <c r="AS25" s="992"/>
      <c r="AT25" s="1018"/>
      <c r="AU25" s="1017"/>
      <c r="AV25" s="1017"/>
      <c r="AW25" s="1017"/>
      <c r="AX25" s="1019"/>
      <c r="AY25" s="989"/>
      <c r="AZ25" s="989"/>
      <c r="BA25" s="992"/>
      <c r="BB25" s="976"/>
      <c r="BC25" s="1021"/>
      <c r="BD25" s="1018"/>
      <c r="BE25" s="1018"/>
      <c r="BF25" s="1018"/>
      <c r="BG25" s="1018"/>
      <c r="BH25" s="1018"/>
      <c r="BI25" s="1018"/>
      <c r="BJ25" s="1018"/>
      <c r="BK25" s="1018"/>
      <c r="BL25" s="1018"/>
      <c r="BM25" s="1018"/>
      <c r="BN25" s="1018"/>
      <c r="BO25" s="1018"/>
      <c r="BP25" s="1018"/>
      <c r="BQ25" s="972"/>
    </row>
    <row r="26" spans="1:69" ht="13.5" customHeight="1" x14ac:dyDescent="0.2">
      <c r="A26" s="970"/>
      <c r="B26" s="969" t="s">
        <v>266</v>
      </c>
      <c r="C26" s="2400">
        <v>-151</v>
      </c>
      <c r="D26" s="2401">
        <v>-0.10641296687808316</v>
      </c>
      <c r="E26" s="934"/>
      <c r="F26" s="916">
        <v>0</v>
      </c>
      <c r="G26" s="916">
        <v>0</v>
      </c>
      <c r="H26" s="916">
        <v>0</v>
      </c>
      <c r="I26" s="2417">
        <v>1268</v>
      </c>
      <c r="J26" s="974">
        <v>1257</v>
      </c>
      <c r="K26" s="992">
        <v>1262</v>
      </c>
      <c r="L26" s="992">
        <v>1360</v>
      </c>
      <c r="M26" s="1017">
        <v>1419</v>
      </c>
      <c r="N26" s="992">
        <v>1561</v>
      </c>
      <c r="O26" s="992">
        <v>1441</v>
      </c>
      <c r="P26" s="992">
        <v>1391</v>
      </c>
      <c r="Q26" s="1017">
        <v>1270</v>
      </c>
      <c r="R26" s="992">
        <v>1204</v>
      </c>
      <c r="S26" s="992">
        <v>1070</v>
      </c>
      <c r="T26" s="992">
        <v>935</v>
      </c>
      <c r="U26" s="1017">
        <v>880</v>
      </c>
      <c r="V26" s="992">
        <v>835</v>
      </c>
      <c r="W26" s="992">
        <v>791</v>
      </c>
      <c r="X26" s="992">
        <v>784</v>
      </c>
      <c r="Y26" s="1017">
        <v>709</v>
      </c>
      <c r="Z26" s="992">
        <v>677</v>
      </c>
      <c r="AA26" s="992">
        <v>607</v>
      </c>
      <c r="AB26" s="992">
        <v>574</v>
      </c>
      <c r="AC26" s="1017">
        <v>575</v>
      </c>
      <c r="AD26" s="992">
        <v>546</v>
      </c>
      <c r="AE26" s="992">
        <v>514</v>
      </c>
      <c r="AF26" s="992">
        <v>473</v>
      </c>
      <c r="AG26" s="1017">
        <v>431</v>
      </c>
      <c r="AH26" s="992">
        <v>445</v>
      </c>
      <c r="AI26" s="992"/>
      <c r="AJ26" s="992"/>
      <c r="AK26" s="1017"/>
      <c r="AL26" s="992"/>
      <c r="AM26" s="992"/>
      <c r="AN26" s="992"/>
      <c r="AO26" s="992"/>
      <c r="AP26" s="974"/>
      <c r="AQ26" s="992"/>
      <c r="AR26" s="992"/>
      <c r="AS26" s="992"/>
      <c r="AT26" s="1018"/>
      <c r="AU26" s="1017"/>
      <c r="AV26" s="1017"/>
      <c r="AW26" s="1017"/>
      <c r="AX26" s="1019"/>
      <c r="AY26" s="1026">
        <v>1257</v>
      </c>
      <c r="AZ26" s="1018">
        <v>1561</v>
      </c>
      <c r="BA26" s="992">
        <v>-304</v>
      </c>
      <c r="BB26" s="976">
        <v>-0.19474695707879563</v>
      </c>
      <c r="BC26" s="1021"/>
      <c r="BD26" s="1018">
        <v>1257</v>
      </c>
      <c r="BE26" s="1018">
        <v>1561</v>
      </c>
      <c r="BF26" s="1018">
        <v>1204</v>
      </c>
      <c r="BG26" s="1018">
        <v>835</v>
      </c>
      <c r="BH26" s="1018">
        <v>677</v>
      </c>
      <c r="BI26" s="1018">
        <v>546</v>
      </c>
      <c r="BJ26" s="1018">
        <f>'12 Misc Operating Stats'!BJ35</f>
        <v>445</v>
      </c>
      <c r="BK26" s="1018">
        <f>'12 Misc Operating Stats'!BK35</f>
        <v>393</v>
      </c>
      <c r="BL26" s="1018">
        <f>'12 Misc Operating Stats'!BL35</f>
        <v>730</v>
      </c>
      <c r="BM26" s="1018"/>
      <c r="BN26" s="1018"/>
      <c r="BO26" s="1018"/>
      <c r="BP26" s="1018"/>
      <c r="BQ26" s="972"/>
    </row>
    <row r="27" spans="1:69" ht="13.5" customHeight="1" x14ac:dyDescent="0.2">
      <c r="A27" s="971"/>
      <c r="B27" s="977" t="s">
        <v>434</v>
      </c>
      <c r="C27" s="2400">
        <v>-831</v>
      </c>
      <c r="D27" s="2401">
        <v>-7.804282494365139E-2</v>
      </c>
      <c r="E27" s="927"/>
      <c r="F27" s="916">
        <v>0</v>
      </c>
      <c r="G27" s="916">
        <v>0</v>
      </c>
      <c r="H27" s="916">
        <v>0</v>
      </c>
      <c r="I27" s="2417">
        <v>9817</v>
      </c>
      <c r="J27" s="974">
        <v>9192</v>
      </c>
      <c r="K27" s="992">
        <v>9035</v>
      </c>
      <c r="L27" s="992">
        <v>9481</v>
      </c>
      <c r="M27" s="1017">
        <v>10648</v>
      </c>
      <c r="N27" s="992">
        <v>10729</v>
      </c>
      <c r="O27" s="992">
        <v>10310</v>
      </c>
      <c r="P27" s="992">
        <v>10757</v>
      </c>
      <c r="Q27" s="1017">
        <v>10958</v>
      </c>
      <c r="R27" s="992">
        <v>10160</v>
      </c>
      <c r="S27" s="992">
        <v>9536</v>
      </c>
      <c r="T27" s="992">
        <v>9427</v>
      </c>
      <c r="U27" s="1017">
        <v>9325</v>
      </c>
      <c r="V27" s="992">
        <v>10429</v>
      </c>
      <c r="W27" s="992">
        <v>11403</v>
      </c>
      <c r="X27" s="992">
        <v>13344</v>
      </c>
      <c r="Y27" s="1017">
        <v>13137</v>
      </c>
      <c r="Z27" s="992">
        <v>14828</v>
      </c>
      <c r="AA27" s="992">
        <v>14367</v>
      </c>
      <c r="AB27" s="992">
        <v>14635</v>
      </c>
      <c r="AC27" s="1017">
        <v>15676</v>
      </c>
      <c r="AD27" s="992">
        <v>16985</v>
      </c>
      <c r="AE27" s="992">
        <v>16006</v>
      </c>
      <c r="AF27" s="992">
        <v>13895</v>
      </c>
      <c r="AG27" s="1017">
        <v>12571</v>
      </c>
      <c r="AH27" s="992">
        <v>12922</v>
      </c>
      <c r="AI27" s="992">
        <v>12210</v>
      </c>
      <c r="AJ27" s="992">
        <v>11386</v>
      </c>
      <c r="AK27" s="1017">
        <v>10341</v>
      </c>
      <c r="AL27" s="992">
        <v>9184</v>
      </c>
      <c r="AM27" s="992">
        <v>9030</v>
      </c>
      <c r="AN27" s="992">
        <v>11584</v>
      </c>
      <c r="AO27" s="992">
        <v>14695</v>
      </c>
      <c r="AP27" s="974">
        <v>14295</v>
      </c>
      <c r="AQ27" s="992">
        <v>14860</v>
      </c>
      <c r="AR27" s="992">
        <v>15288</v>
      </c>
      <c r="AS27" s="992">
        <v>15701</v>
      </c>
      <c r="AT27" s="1018">
        <v>15014</v>
      </c>
      <c r="AU27" s="1017">
        <v>14121</v>
      </c>
      <c r="AV27" s="1017">
        <v>13826</v>
      </c>
      <c r="AW27" s="1017">
        <v>13942</v>
      </c>
      <c r="AX27" s="1019"/>
      <c r="AY27" s="1026">
        <v>9192</v>
      </c>
      <c r="AZ27" s="1018">
        <v>10729</v>
      </c>
      <c r="BA27" s="992">
        <v>-1537</v>
      </c>
      <c r="BB27" s="976">
        <v>-0.14325659427719264</v>
      </c>
      <c r="BC27" s="1021"/>
      <c r="BD27" s="1018">
        <v>9192</v>
      </c>
      <c r="BE27" s="1018">
        <v>10729</v>
      </c>
      <c r="BF27" s="1018">
        <v>10160</v>
      </c>
      <c r="BG27" s="1018">
        <v>10429</v>
      </c>
      <c r="BH27" s="1018">
        <v>14828</v>
      </c>
      <c r="BI27" s="1018">
        <v>16985</v>
      </c>
      <c r="BJ27" s="1018">
        <v>12922</v>
      </c>
      <c r="BK27" s="1018">
        <v>9184</v>
      </c>
      <c r="BL27" s="1018">
        <v>14295</v>
      </c>
      <c r="BM27" s="1018">
        <v>15014</v>
      </c>
      <c r="BN27" s="1018">
        <v>14310</v>
      </c>
      <c r="BO27" s="1018">
        <v>9967</v>
      </c>
      <c r="BP27" s="1018">
        <v>8292</v>
      </c>
      <c r="BQ27" s="972"/>
    </row>
    <row r="28" spans="1:69" ht="13.5" customHeight="1" x14ac:dyDescent="0.2">
      <c r="A28" s="971"/>
      <c r="B28" s="977" t="s">
        <v>272</v>
      </c>
      <c r="C28" s="2400">
        <v>-403</v>
      </c>
      <c r="D28" s="2401">
        <v>-1.7665366238548197E-2</v>
      </c>
      <c r="E28" s="927"/>
      <c r="F28" s="916">
        <v>0</v>
      </c>
      <c r="G28" s="916">
        <v>0</v>
      </c>
      <c r="H28" s="916">
        <v>0</v>
      </c>
      <c r="I28" s="2417">
        <v>22410</v>
      </c>
      <c r="J28" s="974">
        <v>22791</v>
      </c>
      <c r="K28" s="992">
        <v>24530</v>
      </c>
      <c r="L28" s="992">
        <v>22948</v>
      </c>
      <c r="M28" s="1017">
        <v>22813</v>
      </c>
      <c r="N28" s="992">
        <v>21763</v>
      </c>
      <c r="O28" s="992">
        <v>20307</v>
      </c>
      <c r="P28" s="992">
        <v>20420</v>
      </c>
      <c r="Q28" s="1017">
        <v>20486</v>
      </c>
      <c r="R28" s="992">
        <v>20156</v>
      </c>
      <c r="S28" s="992">
        <v>18984</v>
      </c>
      <c r="T28" s="992">
        <v>17655</v>
      </c>
      <c r="U28" s="1017">
        <v>16125</v>
      </c>
      <c r="V28" s="992">
        <v>15936</v>
      </c>
      <c r="W28" s="992">
        <v>15228</v>
      </c>
      <c r="X28" s="992">
        <v>13122</v>
      </c>
      <c r="Y28" s="1017">
        <v>12583</v>
      </c>
      <c r="Z28" s="992">
        <v>13087.2</v>
      </c>
      <c r="AA28" s="992">
        <v>0</v>
      </c>
      <c r="AB28" s="992">
        <v>0</v>
      </c>
      <c r="AC28" s="1017">
        <v>0</v>
      </c>
      <c r="AD28" s="992">
        <v>0</v>
      </c>
      <c r="AE28" s="992">
        <v>0</v>
      </c>
      <c r="AF28" s="992">
        <v>0</v>
      </c>
      <c r="AG28" s="1017">
        <v>0</v>
      </c>
      <c r="AH28" s="992">
        <v>0</v>
      </c>
      <c r="AI28" s="992">
        <v>423</v>
      </c>
      <c r="AJ28" s="992">
        <v>453</v>
      </c>
      <c r="AK28" s="1017">
        <v>443</v>
      </c>
      <c r="AL28" s="992">
        <v>393</v>
      </c>
      <c r="AM28" s="992">
        <v>454</v>
      </c>
      <c r="AN28" s="992">
        <v>609</v>
      </c>
      <c r="AO28" s="992">
        <v>747</v>
      </c>
      <c r="AP28" s="974">
        <v>730</v>
      </c>
      <c r="AQ28" s="992">
        <v>760</v>
      </c>
      <c r="AR28" s="992">
        <v>777</v>
      </c>
      <c r="AS28" s="992">
        <v>815</v>
      </c>
      <c r="AT28" s="1018">
        <v>807</v>
      </c>
      <c r="AU28" s="1017">
        <v>814</v>
      </c>
      <c r="AV28" s="1017">
        <v>745</v>
      </c>
      <c r="AW28" s="1017">
        <v>712</v>
      </c>
      <c r="AX28" s="1019"/>
      <c r="AY28" s="1026">
        <v>22791</v>
      </c>
      <c r="AZ28" s="1018">
        <v>21763</v>
      </c>
      <c r="BA28" s="992">
        <v>1028</v>
      </c>
      <c r="BB28" s="976">
        <v>4.7236134724072967E-2</v>
      </c>
      <c r="BC28" s="1021"/>
      <c r="BD28" s="1018">
        <v>22791</v>
      </c>
      <c r="BE28" s="1018">
        <v>21763</v>
      </c>
      <c r="BF28" s="1018">
        <v>20156</v>
      </c>
      <c r="BG28" s="1018">
        <v>15936</v>
      </c>
      <c r="BH28" s="1018">
        <v>13087.2</v>
      </c>
      <c r="BI28" s="1018">
        <v>0</v>
      </c>
      <c r="BJ28" s="1018">
        <f>AH28</f>
        <v>0</v>
      </c>
      <c r="BK28" s="1018">
        <v>0</v>
      </c>
      <c r="BL28" s="1018">
        <v>0</v>
      </c>
      <c r="BM28" s="1018">
        <v>807</v>
      </c>
      <c r="BN28" s="1018">
        <v>613</v>
      </c>
      <c r="BO28" s="1018">
        <v>380</v>
      </c>
      <c r="BP28" s="1018">
        <v>237</v>
      </c>
      <c r="BQ28" s="972"/>
    </row>
    <row r="29" spans="1:69" ht="13.5" customHeight="1" x14ac:dyDescent="0.2">
      <c r="A29" s="971"/>
      <c r="B29" s="977" t="s">
        <v>402</v>
      </c>
      <c r="C29" s="2400">
        <v>-61</v>
      </c>
      <c r="D29" s="2401">
        <v>-7.5965130759651306E-2</v>
      </c>
      <c r="E29" s="927"/>
      <c r="F29" s="916">
        <v>0</v>
      </c>
      <c r="G29" s="916">
        <v>0</v>
      </c>
      <c r="H29" s="916">
        <v>0</v>
      </c>
      <c r="I29" s="2417">
        <v>742</v>
      </c>
      <c r="J29" s="974">
        <v>731</v>
      </c>
      <c r="K29" s="992">
        <v>816</v>
      </c>
      <c r="L29" s="992">
        <v>790</v>
      </c>
      <c r="M29" s="1017">
        <v>803</v>
      </c>
      <c r="N29" s="992">
        <v>836</v>
      </c>
      <c r="O29" s="992">
        <v>634</v>
      </c>
      <c r="P29" s="992">
        <v>569</v>
      </c>
      <c r="Q29" s="1017">
        <v>631</v>
      </c>
      <c r="R29" s="992">
        <v>555</v>
      </c>
      <c r="S29" s="992">
        <v>463</v>
      </c>
      <c r="T29" s="992">
        <v>411</v>
      </c>
      <c r="U29" s="1017">
        <v>360</v>
      </c>
      <c r="V29" s="992">
        <v>451</v>
      </c>
      <c r="W29" s="992">
        <v>408</v>
      </c>
      <c r="X29" s="992">
        <v>354</v>
      </c>
      <c r="Y29" s="1017">
        <v>305.20875765857699</v>
      </c>
      <c r="Z29" s="992">
        <v>0</v>
      </c>
      <c r="AA29" s="992">
        <v>0</v>
      </c>
      <c r="AB29" s="992">
        <v>0</v>
      </c>
      <c r="AC29" s="1017">
        <v>0</v>
      </c>
      <c r="AD29" s="992">
        <v>0</v>
      </c>
      <c r="AE29" s="992">
        <v>0</v>
      </c>
      <c r="AF29" s="992">
        <v>0</v>
      </c>
      <c r="AG29" s="1017">
        <v>0</v>
      </c>
      <c r="AH29" s="992"/>
      <c r="AI29" s="992"/>
      <c r="AJ29" s="992"/>
      <c r="AK29" s="1017"/>
      <c r="AL29" s="992"/>
      <c r="AM29" s="992"/>
      <c r="AN29" s="992"/>
      <c r="AO29" s="992"/>
      <c r="AP29" s="992"/>
      <c r="AQ29" s="992"/>
      <c r="AR29" s="992"/>
      <c r="AS29" s="992"/>
      <c r="AT29" s="1018"/>
      <c r="AU29" s="1017"/>
      <c r="AV29" s="1017"/>
      <c r="AW29" s="1017"/>
      <c r="AX29" s="1019"/>
      <c r="AY29" s="1026">
        <v>731</v>
      </c>
      <c r="AZ29" s="1018">
        <v>836</v>
      </c>
      <c r="BA29" s="992">
        <v>-105</v>
      </c>
      <c r="BB29" s="976">
        <v>-0.1255980861244019</v>
      </c>
      <c r="BC29" s="1021"/>
      <c r="BD29" s="1018">
        <v>731</v>
      </c>
      <c r="BE29" s="1018">
        <v>836</v>
      </c>
      <c r="BF29" s="1018">
        <v>555</v>
      </c>
      <c r="BG29" s="1018">
        <v>451</v>
      </c>
      <c r="BH29" s="1018">
        <v>0</v>
      </c>
      <c r="BI29" s="1018">
        <v>0</v>
      </c>
      <c r="BJ29" s="1018">
        <f>AE29</f>
        <v>0</v>
      </c>
      <c r="BK29" s="1018">
        <f>AF29</f>
        <v>0</v>
      </c>
      <c r="BL29" s="1018">
        <f>AG29</f>
        <v>0</v>
      </c>
      <c r="BM29" s="1018"/>
      <c r="BN29" s="1018"/>
      <c r="BO29" s="1018"/>
      <c r="BP29" s="1018"/>
      <c r="BQ29" s="972"/>
    </row>
    <row r="30" spans="1:69" ht="12.75" customHeight="1" x14ac:dyDescent="0.2">
      <c r="A30" s="971"/>
      <c r="B30" s="977" t="s">
        <v>271</v>
      </c>
      <c r="C30" s="2400">
        <v>-1295</v>
      </c>
      <c r="D30" s="2401">
        <v>-3.7794770021013308E-2</v>
      </c>
      <c r="E30" s="927"/>
      <c r="F30" s="916">
        <v>0</v>
      </c>
      <c r="G30" s="916">
        <v>0</v>
      </c>
      <c r="H30" s="916">
        <v>0</v>
      </c>
      <c r="I30" s="2417">
        <v>32969</v>
      </c>
      <c r="J30" s="974">
        <v>32714</v>
      </c>
      <c r="K30" s="992">
        <v>34381</v>
      </c>
      <c r="L30" s="992">
        <v>33219</v>
      </c>
      <c r="M30" s="1017">
        <v>34264</v>
      </c>
      <c r="N30" s="992">
        <v>33328</v>
      </c>
      <c r="O30" s="992">
        <v>31251</v>
      </c>
      <c r="P30" s="992">
        <v>31746</v>
      </c>
      <c r="Q30" s="1017">
        <v>32075</v>
      </c>
      <c r="R30" s="992">
        <v>30871</v>
      </c>
      <c r="S30" s="992">
        <v>28983</v>
      </c>
      <c r="T30" s="992">
        <v>27493</v>
      </c>
      <c r="U30" s="1017">
        <v>25810</v>
      </c>
      <c r="V30" s="992">
        <v>26816</v>
      </c>
      <c r="W30" s="992">
        <v>27039</v>
      </c>
      <c r="X30" s="992">
        <v>26820</v>
      </c>
      <c r="Y30" s="1017">
        <v>26025.208757658576</v>
      </c>
      <c r="Z30" s="992">
        <v>27915.200000000001</v>
      </c>
      <c r="AA30" s="992">
        <v>14367</v>
      </c>
      <c r="AB30" s="992">
        <v>14635</v>
      </c>
      <c r="AC30" s="1017">
        <v>15676</v>
      </c>
      <c r="AD30" s="992">
        <v>16985</v>
      </c>
      <c r="AE30" s="992">
        <v>16006</v>
      </c>
      <c r="AF30" s="992">
        <v>13895</v>
      </c>
      <c r="AG30" s="1017">
        <v>12571</v>
      </c>
      <c r="AH30" s="992">
        <v>12922</v>
      </c>
      <c r="AI30" s="992"/>
      <c r="AJ30" s="992"/>
      <c r="AK30" s="1017"/>
      <c r="AL30" s="992"/>
      <c r="AM30" s="992"/>
      <c r="AN30" s="992"/>
      <c r="AO30" s="992"/>
      <c r="AP30" s="992"/>
      <c r="AQ30" s="992"/>
      <c r="AR30" s="992"/>
      <c r="AS30" s="992"/>
      <c r="AT30" s="1018"/>
      <c r="AU30" s="1017"/>
      <c r="AV30" s="1017"/>
      <c r="AW30" s="1017"/>
      <c r="AX30" s="1019"/>
      <c r="AY30" s="1026">
        <v>32714</v>
      </c>
      <c r="AZ30" s="1018">
        <v>33328</v>
      </c>
      <c r="BA30" s="992">
        <v>-614</v>
      </c>
      <c r="BB30" s="976">
        <v>-1.8422947671627461E-2</v>
      </c>
      <c r="BC30" s="1021"/>
      <c r="BD30" s="1018">
        <v>32714</v>
      </c>
      <c r="BE30" s="1018">
        <v>33328</v>
      </c>
      <c r="BF30" s="1018">
        <v>30871</v>
      </c>
      <c r="BG30" s="1018">
        <v>26816</v>
      </c>
      <c r="BH30" s="1018">
        <v>27915.200000000001</v>
      </c>
      <c r="BI30" s="1018">
        <v>16985</v>
      </c>
      <c r="BJ30" s="1018">
        <f>AH30</f>
        <v>12922</v>
      </c>
      <c r="BK30" s="1018">
        <f>SUM(BK27:BK28)</f>
        <v>9184</v>
      </c>
      <c r="BL30" s="1018">
        <f>SUM(BL27:BL28)</f>
        <v>14295</v>
      </c>
      <c r="BM30" s="1018"/>
      <c r="BN30" s="1018"/>
      <c r="BO30" s="1018"/>
      <c r="BP30" s="1018"/>
      <c r="BQ30" s="972"/>
    </row>
    <row r="31" spans="1:69" ht="9.75" customHeight="1" x14ac:dyDescent="0.2">
      <c r="A31" s="971"/>
      <c r="B31" s="969"/>
      <c r="C31" s="2400"/>
      <c r="D31" s="2402"/>
      <c r="E31" s="927"/>
      <c r="F31" s="929"/>
      <c r="G31" s="929"/>
      <c r="H31" s="930"/>
      <c r="I31" s="2418"/>
      <c r="J31" s="1164"/>
      <c r="K31" s="1022"/>
      <c r="L31" s="989"/>
      <c r="M31" s="1032"/>
      <c r="N31" s="1022"/>
      <c r="O31" s="1022"/>
      <c r="P31" s="989"/>
      <c r="Q31" s="1032"/>
      <c r="R31" s="1022"/>
      <c r="S31" s="1022"/>
      <c r="T31" s="989"/>
      <c r="U31" s="1032"/>
      <c r="V31" s="1022"/>
      <c r="W31" s="1022"/>
      <c r="X31" s="989"/>
      <c r="Y31" s="1032"/>
      <c r="Z31" s="1022"/>
      <c r="AA31" s="1022"/>
      <c r="AB31" s="989"/>
      <c r="AC31" s="1032"/>
      <c r="AD31" s="1022"/>
      <c r="AE31" s="1022"/>
      <c r="AF31" s="989"/>
      <c r="AG31" s="1032"/>
      <c r="AH31" s="1022"/>
      <c r="AI31" s="1022"/>
      <c r="AJ31" s="989"/>
      <c r="AK31" s="1032"/>
      <c r="AL31" s="1022"/>
      <c r="AM31" s="1022"/>
      <c r="AN31" s="989"/>
      <c r="AO31" s="1032"/>
      <c r="AP31" s="992"/>
      <c r="AQ31" s="992"/>
      <c r="AR31" s="992"/>
      <c r="AS31" s="992"/>
      <c r="AT31" s="1018"/>
      <c r="AU31" s="1017"/>
      <c r="AV31" s="1017"/>
      <c r="AW31" s="1017"/>
      <c r="AX31" s="1019"/>
      <c r="AY31" s="989"/>
      <c r="AZ31" s="989"/>
      <c r="BA31" s="992"/>
      <c r="BB31" s="976"/>
      <c r="BC31" s="1021"/>
      <c r="BD31" s="1018"/>
      <c r="BE31" s="1018"/>
      <c r="BF31" s="1018"/>
      <c r="BG31" s="1018"/>
      <c r="BH31" s="1018"/>
      <c r="BI31" s="1018"/>
      <c r="BJ31" s="1018"/>
      <c r="BK31" s="1018"/>
      <c r="BL31" s="1018"/>
      <c r="BM31" s="1018"/>
      <c r="BN31" s="1033"/>
      <c r="BO31" s="1033"/>
      <c r="BP31" s="1033"/>
      <c r="BQ31" s="972"/>
    </row>
    <row r="32" spans="1:69" ht="12.75" customHeight="1" x14ac:dyDescent="0.2">
      <c r="A32" s="970" t="s">
        <v>12</v>
      </c>
      <c r="B32" s="969"/>
      <c r="C32" s="2400"/>
      <c r="D32" s="2402"/>
      <c r="E32" s="927"/>
      <c r="F32" s="929"/>
      <c r="G32" s="929"/>
      <c r="H32" s="930"/>
      <c r="I32" s="2418"/>
      <c r="J32" s="1164"/>
      <c r="K32" s="1022"/>
      <c r="L32" s="989"/>
      <c r="M32" s="1032"/>
      <c r="N32" s="1022"/>
      <c r="O32" s="1022"/>
      <c r="P32" s="989"/>
      <c r="Q32" s="1032"/>
      <c r="R32" s="1022"/>
      <c r="S32" s="1022"/>
      <c r="T32" s="989"/>
      <c r="U32" s="1032"/>
      <c r="V32" s="1022"/>
      <c r="W32" s="1022"/>
      <c r="X32" s="989"/>
      <c r="Y32" s="1032"/>
      <c r="Z32" s="1022"/>
      <c r="AA32" s="1022"/>
      <c r="AB32" s="989"/>
      <c r="AC32" s="1032"/>
      <c r="AD32" s="1022"/>
      <c r="AE32" s="1022"/>
      <c r="AF32" s="989"/>
      <c r="AG32" s="1032"/>
      <c r="AH32" s="1022"/>
      <c r="AI32" s="1022"/>
      <c r="AJ32" s="989"/>
      <c r="AK32" s="1032"/>
      <c r="AL32" s="1022"/>
      <c r="AM32" s="1022"/>
      <c r="AN32" s="989"/>
      <c r="AO32" s="1032"/>
      <c r="AP32" s="992"/>
      <c r="AQ32" s="992"/>
      <c r="AR32" s="992"/>
      <c r="AS32" s="992"/>
      <c r="AT32" s="1018"/>
      <c r="AU32" s="1017"/>
      <c r="AV32" s="1017"/>
      <c r="AW32" s="1017"/>
      <c r="AX32" s="1019"/>
      <c r="AY32" s="989"/>
      <c r="AZ32" s="989"/>
      <c r="BA32" s="992"/>
      <c r="BB32" s="976"/>
      <c r="BC32" s="1021"/>
      <c r="BD32" s="1018"/>
      <c r="BE32" s="1018"/>
      <c r="BF32" s="1018"/>
      <c r="BG32" s="1018"/>
      <c r="BH32" s="1018"/>
      <c r="BI32" s="1018"/>
      <c r="BJ32" s="1018"/>
      <c r="BK32" s="1018"/>
      <c r="BL32" s="1018"/>
      <c r="BM32" s="1018"/>
      <c r="BN32" s="1018"/>
      <c r="BO32" s="1018"/>
      <c r="BP32" s="1018"/>
      <c r="BQ32" s="972"/>
    </row>
    <row r="33" spans="1:72" ht="12.75" customHeight="1" x14ac:dyDescent="0.2">
      <c r="A33" s="969" t="s">
        <v>13</v>
      </c>
      <c r="B33" s="969"/>
      <c r="C33" s="2400"/>
      <c r="D33" s="2402"/>
      <c r="E33" s="927"/>
      <c r="F33" s="929"/>
      <c r="G33" s="929"/>
      <c r="H33" s="930"/>
      <c r="I33" s="2418"/>
      <c r="J33" s="1164"/>
      <c r="K33" s="1022"/>
      <c r="L33" s="989"/>
      <c r="M33" s="1032"/>
      <c r="N33" s="1022"/>
      <c r="O33" s="1022"/>
      <c r="P33" s="989"/>
      <c r="Q33" s="1032"/>
      <c r="R33" s="1022"/>
      <c r="S33" s="1022"/>
      <c r="T33" s="989"/>
      <c r="U33" s="1032"/>
      <c r="V33" s="1022"/>
      <c r="W33" s="1022"/>
      <c r="X33" s="989"/>
      <c r="Y33" s="1032"/>
      <c r="Z33" s="1022"/>
      <c r="AA33" s="1022"/>
      <c r="AB33" s="989"/>
      <c r="AC33" s="1032"/>
      <c r="AD33" s="1022"/>
      <c r="AE33" s="1022"/>
      <c r="AF33" s="989"/>
      <c r="AG33" s="1032"/>
      <c r="AH33" s="1022"/>
      <c r="AI33" s="1022"/>
      <c r="AJ33" s="989"/>
      <c r="AK33" s="1032"/>
      <c r="AL33" s="1022"/>
      <c r="AM33" s="1022"/>
      <c r="AN33" s="989"/>
      <c r="AO33" s="1032"/>
      <c r="AP33" s="992"/>
      <c r="AQ33" s="992"/>
      <c r="AR33" s="992"/>
      <c r="AS33" s="992"/>
      <c r="AT33" s="1018"/>
      <c r="AU33" s="1017"/>
      <c r="AV33" s="1017"/>
      <c r="AW33" s="1017"/>
      <c r="AX33" s="1019"/>
      <c r="AY33" s="989"/>
      <c r="AZ33" s="989"/>
      <c r="BA33" s="992"/>
      <c r="BB33" s="976"/>
      <c r="BC33" s="1021"/>
      <c r="BD33" s="1018"/>
      <c r="BE33" s="1018"/>
      <c r="BF33" s="1018"/>
      <c r="BG33" s="1018"/>
      <c r="BH33" s="1018"/>
      <c r="BI33" s="1018"/>
      <c r="BJ33" s="1018"/>
      <c r="BK33" s="1018"/>
      <c r="BL33" s="1018"/>
      <c r="BM33" s="1018"/>
      <c r="BN33" s="1018"/>
      <c r="BO33" s="1018"/>
      <c r="BP33" s="1018"/>
      <c r="BQ33" s="972"/>
    </row>
    <row r="34" spans="1:72" ht="12.75" customHeight="1" x14ac:dyDescent="0.2">
      <c r="A34" s="969"/>
      <c r="B34" s="969" t="s">
        <v>404</v>
      </c>
      <c r="C34" s="2403">
        <v>-0.04</v>
      </c>
      <c r="D34" s="2401">
        <v>-0.5</v>
      </c>
      <c r="E34" s="927"/>
      <c r="F34" s="935">
        <v>0</v>
      </c>
      <c r="G34" s="935">
        <v>0</v>
      </c>
      <c r="H34" s="935">
        <v>0</v>
      </c>
      <c r="I34" s="2423">
        <v>0.04</v>
      </c>
      <c r="J34" s="1165">
        <v>-0.28999999999999998</v>
      </c>
      <c r="K34" s="1034">
        <v>-3.91</v>
      </c>
      <c r="L34" s="1034">
        <v>-0.03</v>
      </c>
      <c r="M34" s="1035">
        <v>0.08</v>
      </c>
      <c r="N34" s="1034">
        <v>-0.33</v>
      </c>
      <c r="O34" s="1034">
        <v>-0.27</v>
      </c>
      <c r="P34" s="1034">
        <v>0.16</v>
      </c>
      <c r="Q34" s="1035">
        <v>0.16</v>
      </c>
      <c r="R34" s="1034">
        <v>0.24</v>
      </c>
      <c r="S34" s="1036">
        <v>0.15</v>
      </c>
      <c r="T34" s="1034">
        <v>-0.03</v>
      </c>
      <c r="U34" s="1035">
        <v>0.06</v>
      </c>
      <c r="V34" s="1034">
        <v>0.04</v>
      </c>
      <c r="W34" s="1036">
        <v>0.09</v>
      </c>
      <c r="X34" s="1034">
        <v>-0.19</v>
      </c>
      <c r="Y34" s="1035">
        <v>-0.24</v>
      </c>
      <c r="Z34" s="1034">
        <v>-0.42</v>
      </c>
      <c r="AA34" s="1036">
        <v>0.02</v>
      </c>
      <c r="AB34" s="1034">
        <v>-0.09</v>
      </c>
      <c r="AC34" s="1037">
        <v>0.17</v>
      </c>
      <c r="AD34" s="1036">
        <v>0.55000000000000004</v>
      </c>
      <c r="AE34" s="1036">
        <v>0.56999999999999995</v>
      </c>
      <c r="AF34" s="1034">
        <v>0.14000000000000001</v>
      </c>
      <c r="AG34" s="1037">
        <v>0.08</v>
      </c>
      <c r="AH34" s="1036">
        <v>0.15</v>
      </c>
      <c r="AI34" s="1034">
        <v>0.31</v>
      </c>
      <c r="AJ34" s="1034">
        <v>0.14000000000000001</v>
      </c>
      <c r="AK34" s="1032">
        <v>0.19</v>
      </c>
      <c r="AL34" s="1036">
        <v>7.0000000000000007E-2</v>
      </c>
      <c r="AM34" s="1034">
        <v>-1.27</v>
      </c>
      <c r="AN34" s="1034">
        <v>-0.11</v>
      </c>
      <c r="AO34" s="1032">
        <v>0.35</v>
      </c>
      <c r="AP34" s="1034">
        <v>-0.8</v>
      </c>
      <c r="AQ34" s="1034">
        <v>0.34</v>
      </c>
      <c r="AR34" s="1034">
        <v>0.28000000000000003</v>
      </c>
      <c r="AS34" s="1034">
        <v>0.86</v>
      </c>
      <c r="AT34" s="1038">
        <v>0.56999999999999995</v>
      </c>
      <c r="AU34" s="1039">
        <v>0.51</v>
      </c>
      <c r="AV34" s="1039">
        <v>0.39</v>
      </c>
      <c r="AW34" s="1039">
        <v>0.56999999999999995</v>
      </c>
      <c r="AX34" s="1019"/>
      <c r="AY34" s="2218">
        <v>-4.04</v>
      </c>
      <c r="AZ34" s="1038">
        <v>-0.27</v>
      </c>
      <c r="BA34" s="1040">
        <v>-3.82</v>
      </c>
      <c r="BB34" s="976" t="s">
        <v>42</v>
      </c>
      <c r="BC34" s="1021"/>
      <c r="BD34" s="1038">
        <v>-4.09</v>
      </c>
      <c r="BE34" s="1038">
        <v>-0.27</v>
      </c>
      <c r="BF34" s="1038">
        <v>0.42</v>
      </c>
      <c r="BG34" s="1038">
        <v>-0.31</v>
      </c>
      <c r="BH34" s="1038">
        <v>-0.33</v>
      </c>
      <c r="BI34" s="1038">
        <v>1.37</v>
      </c>
      <c r="BJ34" s="1038">
        <v>0.79</v>
      </c>
      <c r="BK34" s="1038">
        <v>-0.97</v>
      </c>
      <c r="BL34" s="1038">
        <v>0.7</v>
      </c>
      <c r="BM34" s="1038">
        <v>2.0299999999999998</v>
      </c>
      <c r="BN34" s="1038">
        <v>1.82</v>
      </c>
      <c r="BO34" s="1038">
        <v>1.17</v>
      </c>
      <c r="BP34" s="1038">
        <v>1.43</v>
      </c>
      <c r="BQ34" s="972"/>
    </row>
    <row r="35" spans="1:72" ht="12.75" customHeight="1" x14ac:dyDescent="0.2">
      <c r="A35" s="969"/>
      <c r="B35" s="969" t="s">
        <v>405</v>
      </c>
      <c r="C35" s="2403">
        <v>-0.04</v>
      </c>
      <c r="D35" s="2401">
        <v>-0.5</v>
      </c>
      <c r="E35" s="927"/>
      <c r="F35" s="935">
        <v>0</v>
      </c>
      <c r="G35" s="935">
        <v>0</v>
      </c>
      <c r="H35" s="935">
        <v>0</v>
      </c>
      <c r="I35" s="2423">
        <v>0.04</v>
      </c>
      <c r="J35" s="1165">
        <v>-0.28999999999999998</v>
      </c>
      <c r="K35" s="1034">
        <v>-3.91</v>
      </c>
      <c r="L35" s="1034">
        <v>-0.03</v>
      </c>
      <c r="M35" s="1035">
        <v>0.08</v>
      </c>
      <c r="N35" s="1034">
        <v>-0.33</v>
      </c>
      <c r="O35" s="1034">
        <v>-0.27</v>
      </c>
      <c r="P35" s="1034">
        <v>0.14000000000000001</v>
      </c>
      <c r="Q35" s="1035">
        <v>0.15</v>
      </c>
      <c r="R35" s="1034">
        <v>0.22</v>
      </c>
      <c r="S35" s="1036">
        <v>0.14000000000000001</v>
      </c>
      <c r="T35" s="1034">
        <v>-0.03</v>
      </c>
      <c r="U35" s="1035">
        <v>0.06</v>
      </c>
      <c r="V35" s="1034">
        <v>0.04</v>
      </c>
      <c r="W35" s="1036">
        <v>0.08</v>
      </c>
      <c r="X35" s="1034">
        <v>-0.19</v>
      </c>
      <c r="Y35" s="1035">
        <v>-0.24</v>
      </c>
      <c r="Z35" s="1034">
        <v>-0.42</v>
      </c>
      <c r="AA35" s="1036">
        <v>0.01</v>
      </c>
      <c r="AB35" s="1034">
        <v>-0.09</v>
      </c>
      <c r="AC35" s="1037">
        <v>0.16</v>
      </c>
      <c r="AD35" s="1036">
        <v>0.49</v>
      </c>
      <c r="AE35" s="1036">
        <v>0.51</v>
      </c>
      <c r="AF35" s="1034">
        <v>0.12</v>
      </c>
      <c r="AG35" s="1037">
        <v>7.0000000000000007E-2</v>
      </c>
      <c r="AH35" s="1036">
        <v>0.14000000000000001</v>
      </c>
      <c r="AI35" s="1034">
        <v>0.27</v>
      </c>
      <c r="AJ35" s="1034">
        <v>0.12</v>
      </c>
      <c r="AK35" s="1032">
        <v>0.16</v>
      </c>
      <c r="AL35" s="1036">
        <v>7.0000000000000007E-2</v>
      </c>
      <c r="AM35" s="1034">
        <v>-1.27</v>
      </c>
      <c r="AN35" s="1034">
        <v>-0.11</v>
      </c>
      <c r="AO35" s="1032">
        <v>0.31</v>
      </c>
      <c r="AP35" s="1034">
        <v>-0.8</v>
      </c>
      <c r="AQ35" s="1034">
        <v>0.31</v>
      </c>
      <c r="AR35" s="1034">
        <v>0.26</v>
      </c>
      <c r="AS35" s="1034">
        <v>0.8</v>
      </c>
      <c r="AT35" s="1038">
        <v>0.54</v>
      </c>
      <c r="AU35" s="1039">
        <v>0.49</v>
      </c>
      <c r="AV35" s="1039">
        <v>0.37</v>
      </c>
      <c r="AW35" s="1039">
        <v>0.54</v>
      </c>
      <c r="AX35" s="1019"/>
      <c r="AY35" s="2218">
        <v>-4.04</v>
      </c>
      <c r="AZ35" s="1038">
        <v>-0.27</v>
      </c>
      <c r="BA35" s="1040">
        <v>-3.82</v>
      </c>
      <c r="BB35" s="976" t="s">
        <v>42</v>
      </c>
      <c r="BC35" s="1021"/>
      <c r="BD35" s="1038">
        <v>-4.09</v>
      </c>
      <c r="BE35" s="1038">
        <v>-0.27</v>
      </c>
      <c r="BF35" s="1038">
        <v>0.39</v>
      </c>
      <c r="BG35" s="1038">
        <v>-0.31</v>
      </c>
      <c r="BH35" s="1038">
        <v>-0.33</v>
      </c>
      <c r="BI35" s="1038">
        <v>1.22</v>
      </c>
      <c r="BJ35" s="1038">
        <v>0.69</v>
      </c>
      <c r="BK35" s="1038">
        <v>-0.97</v>
      </c>
      <c r="BL35" s="1038">
        <v>0.64</v>
      </c>
      <c r="BM35" s="1038">
        <v>1.94</v>
      </c>
      <c r="BN35" s="1038">
        <v>1.74</v>
      </c>
      <c r="BO35" s="1038">
        <v>1.1100000000000001</v>
      </c>
      <c r="BP35" s="1038">
        <v>1.1200000000000001</v>
      </c>
      <c r="BQ35" s="972"/>
    </row>
    <row r="36" spans="1:72" ht="12.75" customHeight="1" x14ac:dyDescent="0.2">
      <c r="A36" s="969"/>
      <c r="B36" s="969" t="s">
        <v>273</v>
      </c>
      <c r="C36" s="2403">
        <v>-3.5886823482421182</v>
      </c>
      <c r="D36" s="2401">
        <v>-0.43029764367411488</v>
      </c>
      <c r="E36" s="927"/>
      <c r="F36" s="935"/>
      <c r="G36" s="936"/>
      <c r="H36" s="935"/>
      <c r="I36" s="2423">
        <v>4.7513176517578817</v>
      </c>
      <c r="J36" s="1165">
        <v>4.990171629749157</v>
      </c>
      <c r="K36" s="1041">
        <v>5.3274116540838587</v>
      </c>
      <c r="L36" s="1034">
        <v>8.3842300334057658</v>
      </c>
      <c r="M36" s="1035">
        <v>8.34</v>
      </c>
      <c r="N36" s="1034">
        <v>8.7100000000000009</v>
      </c>
      <c r="O36" s="1041">
        <v>8.6300000000000008</v>
      </c>
      <c r="P36" s="1034">
        <v>8.9</v>
      </c>
      <c r="Q36" s="1035">
        <v>8.6999999999999993</v>
      </c>
      <c r="R36" s="1034">
        <v>9.0500000000000007</v>
      </c>
      <c r="S36" s="1042">
        <v>8.43</v>
      </c>
      <c r="T36" s="1034">
        <v>8</v>
      </c>
      <c r="U36" s="1035">
        <v>7.8690965112156039</v>
      </c>
      <c r="V36" s="1034">
        <v>7.6805825717690102</v>
      </c>
      <c r="W36" s="1042">
        <v>7.619629128942214</v>
      </c>
      <c r="X36" s="1034">
        <v>7.6129029043796193</v>
      </c>
      <c r="Y36" s="1037">
        <v>7.9000240300341398</v>
      </c>
      <c r="Z36" s="1034">
        <v>8.26</v>
      </c>
      <c r="AA36" s="1036">
        <v>8.54362469180208</v>
      </c>
      <c r="AB36" s="1034">
        <v>8.7541612287663693</v>
      </c>
      <c r="AC36" s="1037">
        <v>8.7073727909457759</v>
      </c>
      <c r="AD36" s="1036">
        <v>8.7928854314765257</v>
      </c>
      <c r="AE36" s="1036">
        <v>8.4331234596167377</v>
      </c>
      <c r="AF36" s="1034">
        <v>8.047419145036363</v>
      </c>
      <c r="AG36" s="1037">
        <v>7.8610513978754888</v>
      </c>
      <c r="AH36" s="1036">
        <v>6.96</v>
      </c>
      <c r="AI36" s="1034">
        <v>7</v>
      </c>
      <c r="AJ36" s="1034">
        <v>6.78</v>
      </c>
      <c r="AK36" s="1032">
        <v>6.73</v>
      </c>
      <c r="AL36" s="1036">
        <v>6.51</v>
      </c>
      <c r="AM36" s="1036">
        <v>6.37</v>
      </c>
      <c r="AN36" s="989">
        <v>7.15</v>
      </c>
      <c r="AO36" s="1032">
        <v>7.66</v>
      </c>
      <c r="AP36" s="1040">
        <v>7.21</v>
      </c>
      <c r="AQ36" s="1040">
        <v>7.95</v>
      </c>
      <c r="AR36" s="1040">
        <v>7.83</v>
      </c>
      <c r="AS36" s="1040">
        <v>7.96</v>
      </c>
      <c r="AT36" s="1043">
        <v>7.74</v>
      </c>
      <c r="AU36" s="1044">
        <v>7.43</v>
      </c>
      <c r="AV36" s="1044">
        <v>6.84</v>
      </c>
      <c r="AW36" s="1044">
        <v>6.49</v>
      </c>
      <c r="AX36" s="1019"/>
      <c r="AY36" s="1034">
        <v>4.990171629749157</v>
      </c>
      <c r="AZ36" s="1038">
        <v>8.7100000000000009</v>
      </c>
      <c r="BA36" s="1040">
        <v>-3.7198283702508439</v>
      </c>
      <c r="BB36" s="976">
        <v>-0.42707558785887983</v>
      </c>
      <c r="BC36" s="1021"/>
      <c r="BD36" s="1038">
        <v>4.990171629749157</v>
      </c>
      <c r="BE36" s="1038">
        <v>8.7100000000000009</v>
      </c>
      <c r="BF36" s="1038">
        <v>9.0500000000000007</v>
      </c>
      <c r="BG36" s="1038">
        <v>7.6805825717690102</v>
      </c>
      <c r="BH36" s="1038">
        <v>8.26</v>
      </c>
      <c r="BI36" s="1038">
        <v>8.7885987238297076</v>
      </c>
      <c r="BJ36" s="1038">
        <v>6.96</v>
      </c>
      <c r="BK36" s="1038">
        <v>6.51</v>
      </c>
      <c r="BL36" s="1038">
        <v>7.21</v>
      </c>
      <c r="BM36" s="1038">
        <v>7.74</v>
      </c>
      <c r="BN36" s="1038">
        <v>5.99</v>
      </c>
      <c r="BO36" s="1038">
        <v>4.82</v>
      </c>
      <c r="BP36" s="1038">
        <v>2.59</v>
      </c>
      <c r="BQ36" s="972"/>
    </row>
    <row r="37" spans="1:72" ht="9.75" customHeight="1" x14ac:dyDescent="0.2">
      <c r="A37" s="971"/>
      <c r="B37" s="969"/>
      <c r="C37" s="2404"/>
      <c r="D37" s="2402"/>
      <c r="E37" s="927"/>
      <c r="F37" s="929"/>
      <c r="G37" s="929"/>
      <c r="H37" s="930"/>
      <c r="I37" s="2418"/>
      <c r="J37" s="1164"/>
      <c r="K37" s="1022"/>
      <c r="L37" s="989"/>
      <c r="M37" s="1032"/>
      <c r="N37" s="1022"/>
      <c r="O37" s="1022"/>
      <c r="P37" s="989"/>
      <c r="Q37" s="1032"/>
      <c r="R37" s="1022"/>
      <c r="S37" s="1022"/>
      <c r="T37" s="989"/>
      <c r="U37" s="1032"/>
      <c r="V37" s="1022"/>
      <c r="W37" s="1022"/>
      <c r="X37" s="989"/>
      <c r="Y37" s="1032"/>
      <c r="Z37" s="1022"/>
      <c r="AA37" s="1022"/>
      <c r="AB37" s="989"/>
      <c r="AC37" s="1032"/>
      <c r="AD37" s="1022"/>
      <c r="AE37" s="1022"/>
      <c r="AF37" s="989"/>
      <c r="AG37" s="1032"/>
      <c r="AH37" s="1022"/>
      <c r="AI37" s="1022"/>
      <c r="AJ37" s="989"/>
      <c r="AK37" s="1032"/>
      <c r="AL37" s="1022"/>
      <c r="AM37" s="1022"/>
      <c r="AN37" s="989"/>
      <c r="AO37" s="1032"/>
      <c r="AP37" s="992"/>
      <c r="AQ37" s="992"/>
      <c r="AR37" s="992"/>
      <c r="AS37" s="992"/>
      <c r="AT37" s="1018"/>
      <c r="AU37" s="1017"/>
      <c r="AV37" s="1017"/>
      <c r="AW37" s="1017"/>
      <c r="AX37" s="1019"/>
      <c r="AY37" s="989"/>
      <c r="AZ37" s="989"/>
      <c r="BA37" s="1045"/>
      <c r="BB37" s="976"/>
      <c r="BC37" s="1021"/>
      <c r="BD37" s="1018"/>
      <c r="BE37" s="1018"/>
      <c r="BF37" s="1018"/>
      <c r="BG37" s="1018"/>
      <c r="BH37" s="1018"/>
      <c r="BI37" s="1018"/>
      <c r="BJ37" s="1018"/>
      <c r="BK37" s="1018"/>
      <c r="BL37" s="1018"/>
      <c r="BM37" s="1018"/>
      <c r="BN37" s="1018"/>
      <c r="BO37" s="1018"/>
      <c r="BP37" s="1018"/>
      <c r="BQ37" s="972"/>
    </row>
    <row r="38" spans="1:72" ht="12.75" customHeight="1" x14ac:dyDescent="0.2">
      <c r="A38" s="969" t="s">
        <v>14</v>
      </c>
      <c r="B38" s="969"/>
      <c r="C38" s="2404"/>
      <c r="D38" s="2402"/>
      <c r="E38" s="927"/>
      <c r="F38" s="929"/>
      <c r="G38" s="929"/>
      <c r="H38" s="930"/>
      <c r="I38" s="2418"/>
      <c r="J38" s="1164"/>
      <c r="K38" s="1022"/>
      <c r="L38" s="989"/>
      <c r="M38" s="1032"/>
      <c r="N38" s="1022"/>
      <c r="O38" s="1022"/>
      <c r="P38" s="989"/>
      <c r="Q38" s="1032"/>
      <c r="R38" s="1022"/>
      <c r="S38" s="1022"/>
      <c r="T38" s="989"/>
      <c r="U38" s="1032"/>
      <c r="V38" s="1022"/>
      <c r="W38" s="1022"/>
      <c r="X38" s="989"/>
      <c r="Y38" s="1032"/>
      <c r="Z38" s="1022"/>
      <c r="AA38" s="1022"/>
      <c r="AB38" s="989"/>
      <c r="AC38" s="1032"/>
      <c r="AD38" s="1022"/>
      <c r="AE38" s="1022"/>
      <c r="AF38" s="989"/>
      <c r="AG38" s="1032"/>
      <c r="AH38" s="1022"/>
      <c r="AI38" s="1022"/>
      <c r="AJ38" s="989"/>
      <c r="AK38" s="1032"/>
      <c r="AL38" s="1022"/>
      <c r="AM38" s="1022"/>
      <c r="AN38" s="989"/>
      <c r="AO38" s="1032"/>
      <c r="AP38" s="992"/>
      <c r="AQ38" s="992"/>
      <c r="AR38" s="992"/>
      <c r="AS38" s="992"/>
      <c r="AT38" s="1018"/>
      <c r="AU38" s="1017"/>
      <c r="AV38" s="1017"/>
      <c r="AW38" s="1017"/>
      <c r="AX38" s="1019"/>
      <c r="AY38" s="989"/>
      <c r="AZ38" s="989"/>
      <c r="BA38" s="1045"/>
      <c r="BB38" s="976"/>
      <c r="BC38" s="1021"/>
      <c r="BD38" s="1018"/>
      <c r="BE38" s="1018"/>
      <c r="BF38" s="1018"/>
      <c r="BG38" s="1018"/>
      <c r="BH38" s="1018"/>
      <c r="BI38" s="1018"/>
      <c r="BJ38" s="1018"/>
      <c r="BK38" s="1018"/>
      <c r="BL38" s="1018"/>
      <c r="BM38" s="1018"/>
      <c r="BN38" s="1018"/>
      <c r="BO38" s="1018"/>
      <c r="BP38" s="1018"/>
      <c r="BQ38" s="972"/>
    </row>
    <row r="39" spans="1:72" ht="12.75" customHeight="1" x14ac:dyDescent="0.2">
      <c r="A39" s="971"/>
      <c r="B39" s="969" t="s">
        <v>15</v>
      </c>
      <c r="C39" s="2403">
        <v>-3.4699999999999998</v>
      </c>
      <c r="D39" s="2401">
        <v>-0.40442890442890439</v>
      </c>
      <c r="E39" s="927"/>
      <c r="F39" s="2259"/>
      <c r="G39" s="2259"/>
      <c r="H39" s="2259"/>
      <c r="I39" s="2424">
        <v>5.1100000000000003</v>
      </c>
      <c r="J39" s="2381">
        <v>5.08</v>
      </c>
      <c r="K39" s="1036">
        <v>5.89</v>
      </c>
      <c r="L39" s="1036">
        <v>7.87</v>
      </c>
      <c r="M39" s="1037">
        <v>8.58</v>
      </c>
      <c r="N39" s="1036">
        <v>7.85</v>
      </c>
      <c r="O39" s="1036">
        <v>11.47</v>
      </c>
      <c r="P39" s="1036">
        <v>13.49</v>
      </c>
      <c r="Q39" s="1037">
        <v>13.05</v>
      </c>
      <c r="R39" s="1036">
        <v>8.4499999999999993</v>
      </c>
      <c r="S39" s="1036">
        <v>7</v>
      </c>
      <c r="T39" s="1036">
        <v>7.06</v>
      </c>
      <c r="U39" s="1037">
        <v>6.94</v>
      </c>
      <c r="V39" s="1036">
        <v>7.93</v>
      </c>
      <c r="W39" s="1036">
        <v>6.77</v>
      </c>
      <c r="X39" s="1036">
        <v>6.45</v>
      </c>
      <c r="Y39" s="1037">
        <v>8.3000000000000007</v>
      </c>
      <c r="Z39" s="1036">
        <v>9.44</v>
      </c>
      <c r="AA39" s="1036">
        <v>9.74</v>
      </c>
      <c r="AB39" s="1036">
        <v>13.05</v>
      </c>
      <c r="AC39" s="1037">
        <v>15.31</v>
      </c>
      <c r="AD39" s="1036">
        <v>16.41</v>
      </c>
      <c r="AE39" s="1036">
        <v>14.42</v>
      </c>
      <c r="AF39" s="1036">
        <v>10.89</v>
      </c>
      <c r="AG39" s="1037">
        <v>11.48</v>
      </c>
      <c r="AH39" s="1036">
        <v>11.34</v>
      </c>
      <c r="AI39" s="1036">
        <v>11.87</v>
      </c>
      <c r="AJ39" s="1036">
        <v>10.71</v>
      </c>
      <c r="AK39" s="1037">
        <v>8.41</v>
      </c>
      <c r="AL39" s="1036">
        <v>5.53</v>
      </c>
      <c r="AM39" s="1036">
        <v>8.19</v>
      </c>
      <c r="AN39" s="1036">
        <v>9.33</v>
      </c>
      <c r="AO39" s="1037">
        <v>11.75</v>
      </c>
      <c r="AP39" s="989">
        <v>16.329999999999998</v>
      </c>
      <c r="AQ39" s="1036">
        <v>20.58</v>
      </c>
      <c r="AR39" s="1046">
        <v>22.49</v>
      </c>
      <c r="AS39" s="1036">
        <v>25.92</v>
      </c>
      <c r="AT39" s="1047">
        <v>22.64</v>
      </c>
      <c r="AU39" s="1048">
        <v>19.78</v>
      </c>
      <c r="AV39" s="1035">
        <v>20.6</v>
      </c>
      <c r="AW39" s="1048">
        <v>27.5</v>
      </c>
      <c r="AX39" s="1019"/>
      <c r="AY39" s="2219">
        <v>8.58</v>
      </c>
      <c r="AZ39" s="1043">
        <v>13.49</v>
      </c>
      <c r="BA39" s="1040">
        <v>-4.91</v>
      </c>
      <c r="BB39" s="976">
        <v>-0.36397331356560414</v>
      </c>
      <c r="BC39" s="1021"/>
      <c r="BD39" s="1043">
        <v>8.58</v>
      </c>
      <c r="BE39" s="1043">
        <v>13.49</v>
      </c>
      <c r="BF39" s="1043">
        <v>8.4499999999999993</v>
      </c>
      <c r="BG39" s="1043">
        <v>8.3000000000000007</v>
      </c>
      <c r="BH39" s="1043">
        <v>15.31</v>
      </c>
      <c r="BI39" s="1043">
        <v>16.41</v>
      </c>
      <c r="BJ39" s="1043">
        <v>11.87</v>
      </c>
      <c r="BK39" s="1043">
        <v>11.75</v>
      </c>
      <c r="BL39" s="1043">
        <v>25.92</v>
      </c>
      <c r="BM39" s="1043">
        <v>27.5</v>
      </c>
      <c r="BN39" s="1043">
        <v>21.25</v>
      </c>
      <c r="BO39" s="1043">
        <v>11.1</v>
      </c>
      <c r="BP39" s="1043">
        <v>0</v>
      </c>
      <c r="BQ39" s="972"/>
    </row>
    <row r="40" spans="1:72" ht="12.75" customHeight="1" x14ac:dyDescent="0.2">
      <c r="A40" s="971"/>
      <c r="B40" s="969" t="s">
        <v>16</v>
      </c>
      <c r="C40" s="2403">
        <v>-2.75</v>
      </c>
      <c r="D40" s="2401">
        <v>-0.43103448275862072</v>
      </c>
      <c r="E40" s="927"/>
      <c r="F40" s="2259"/>
      <c r="G40" s="2259"/>
      <c r="H40" s="2259"/>
      <c r="I40" s="2424">
        <v>3.63</v>
      </c>
      <c r="J40" s="2381">
        <v>3.5</v>
      </c>
      <c r="K40" s="1036">
        <v>4.2300000000000004</v>
      </c>
      <c r="L40" s="1036">
        <v>5.14</v>
      </c>
      <c r="M40" s="1037">
        <v>6.38</v>
      </c>
      <c r="N40" s="1036">
        <v>6.14</v>
      </c>
      <c r="O40" s="1036">
        <v>5.98</v>
      </c>
      <c r="P40" s="1036">
        <v>10.73</v>
      </c>
      <c r="Q40" s="1037">
        <v>7.8</v>
      </c>
      <c r="R40" s="1036">
        <v>6.54</v>
      </c>
      <c r="S40" s="1036">
        <v>5.84</v>
      </c>
      <c r="T40" s="1036">
        <v>5.37</v>
      </c>
      <c r="U40" s="1037">
        <v>5.05</v>
      </c>
      <c r="V40" s="1036">
        <v>6.44</v>
      </c>
      <c r="W40" s="1036">
        <v>4.7</v>
      </c>
      <c r="X40" s="1036">
        <v>4.03</v>
      </c>
      <c r="Y40" s="1037">
        <v>4.91</v>
      </c>
      <c r="Z40" s="1036">
        <v>7.61</v>
      </c>
      <c r="AA40" s="1036">
        <v>6.94</v>
      </c>
      <c r="AB40" s="1036">
        <v>9.32</v>
      </c>
      <c r="AC40" s="1037">
        <v>11.65</v>
      </c>
      <c r="AD40" s="1036">
        <v>13.03</v>
      </c>
      <c r="AE40" s="1036">
        <v>10.09</v>
      </c>
      <c r="AF40" s="1036">
        <v>8.77</v>
      </c>
      <c r="AG40" s="1037">
        <v>7.95</v>
      </c>
      <c r="AH40" s="1036">
        <v>8.27</v>
      </c>
      <c r="AI40" s="1036">
        <v>9.5</v>
      </c>
      <c r="AJ40" s="1036">
        <v>6.7</v>
      </c>
      <c r="AK40" s="1037">
        <v>5.3</v>
      </c>
      <c r="AL40" s="1036">
        <v>3.5</v>
      </c>
      <c r="AM40" s="1036">
        <v>2.87</v>
      </c>
      <c r="AN40" s="1036">
        <v>6.68</v>
      </c>
      <c r="AO40" s="1037">
        <v>7.6</v>
      </c>
      <c r="AP40" s="1036">
        <v>8.6</v>
      </c>
      <c r="AQ40" s="1036">
        <v>13.3</v>
      </c>
      <c r="AR40" s="1046">
        <v>16.25</v>
      </c>
      <c r="AS40" s="989">
        <v>20.22</v>
      </c>
      <c r="AT40" s="1049">
        <v>16.7</v>
      </c>
      <c r="AU40" s="1048">
        <v>15.8</v>
      </c>
      <c r="AV40" s="1035">
        <v>16.739999999999998</v>
      </c>
      <c r="AW40" s="1050">
        <v>16.25</v>
      </c>
      <c r="AX40" s="1019"/>
      <c r="AY40" s="2219">
        <v>3.5</v>
      </c>
      <c r="AZ40" s="1043">
        <v>5.98</v>
      </c>
      <c r="BA40" s="1040">
        <v>-2.4800000000000004</v>
      </c>
      <c r="BB40" s="976">
        <v>-0.41471571906354521</v>
      </c>
      <c r="BC40" s="1021"/>
      <c r="BD40" s="1043">
        <v>3.5</v>
      </c>
      <c r="BE40" s="1043">
        <v>5.98</v>
      </c>
      <c r="BF40" s="1043">
        <v>5.05</v>
      </c>
      <c r="BG40" s="1043">
        <v>4.03</v>
      </c>
      <c r="BH40" s="1043">
        <v>6.94</v>
      </c>
      <c r="BI40" s="1043">
        <v>7.95</v>
      </c>
      <c r="BJ40" s="1043">
        <v>5.3</v>
      </c>
      <c r="BK40" s="1043">
        <v>2.87</v>
      </c>
      <c r="BL40" s="1043">
        <v>8.6</v>
      </c>
      <c r="BM40" s="1043">
        <v>15.8</v>
      </c>
      <c r="BN40" s="1043">
        <v>9</v>
      </c>
      <c r="BO40" s="1043">
        <v>7.96</v>
      </c>
      <c r="BP40" s="1043">
        <v>0</v>
      </c>
      <c r="BQ40" s="972"/>
    </row>
    <row r="41" spans="1:72" ht="12.75" customHeight="1" x14ac:dyDescent="0.2">
      <c r="A41" s="971"/>
      <c r="B41" s="969" t="s">
        <v>17</v>
      </c>
      <c r="C41" s="2403">
        <v>-2.8600000000000003</v>
      </c>
      <c r="D41" s="2401">
        <v>-0.36760925449871468</v>
      </c>
      <c r="E41" s="927"/>
      <c r="F41" s="2259"/>
      <c r="G41" s="2259"/>
      <c r="H41" s="2259"/>
      <c r="I41" s="2424">
        <v>4.92</v>
      </c>
      <c r="J41" s="2381">
        <v>4.01</v>
      </c>
      <c r="K41" s="1036">
        <v>5.1100000000000003</v>
      </c>
      <c r="L41" s="1036">
        <v>5.23</v>
      </c>
      <c r="M41" s="1037">
        <v>7.78</v>
      </c>
      <c r="N41" s="1036">
        <v>6.52</v>
      </c>
      <c r="O41" s="1036">
        <v>7.81</v>
      </c>
      <c r="P41" s="1036">
        <v>11.19</v>
      </c>
      <c r="Q41" s="1037">
        <v>12.29</v>
      </c>
      <c r="R41" s="1036">
        <v>8.1999999999999993</v>
      </c>
      <c r="S41" s="1036">
        <v>6.95</v>
      </c>
      <c r="T41" s="1036">
        <v>6.63</v>
      </c>
      <c r="U41" s="1037">
        <v>5.71</v>
      </c>
      <c r="V41" s="1036">
        <v>6.82</v>
      </c>
      <c r="W41" s="1036">
        <v>6.7</v>
      </c>
      <c r="X41" s="1036">
        <v>5.68</v>
      </c>
      <c r="Y41" s="1037">
        <v>5.5</v>
      </c>
      <c r="Z41" s="1036">
        <v>8.3000000000000007</v>
      </c>
      <c r="AA41" s="1036">
        <v>7.8</v>
      </c>
      <c r="AB41" s="1036">
        <v>9.5500000000000007</v>
      </c>
      <c r="AC41" s="1037">
        <v>12.36</v>
      </c>
      <c r="AD41" s="1036">
        <v>14</v>
      </c>
      <c r="AE41" s="1036">
        <v>14.16</v>
      </c>
      <c r="AF41" s="1036">
        <v>10.37</v>
      </c>
      <c r="AG41" s="1037">
        <v>9.39</v>
      </c>
      <c r="AH41" s="1036">
        <v>11.1</v>
      </c>
      <c r="AI41" s="1036">
        <v>10.37</v>
      </c>
      <c r="AJ41" s="1036">
        <v>10.199999999999999</v>
      </c>
      <c r="AK41" s="1037">
        <v>6.95</v>
      </c>
      <c r="AL41" s="1036">
        <v>5.4</v>
      </c>
      <c r="AM41" s="1036">
        <v>4.04</v>
      </c>
      <c r="AN41" s="1036">
        <v>7.98</v>
      </c>
      <c r="AO41" s="1037">
        <v>7.95</v>
      </c>
      <c r="AP41" s="1036">
        <v>9.8000000000000007</v>
      </c>
      <c r="AQ41" s="1036">
        <v>15.3</v>
      </c>
      <c r="AR41" s="1046">
        <v>18.98</v>
      </c>
      <c r="AS41" s="989">
        <v>20.83</v>
      </c>
      <c r="AT41" s="1047">
        <v>22.12</v>
      </c>
      <c r="AU41" s="1048">
        <v>18.600000000000001</v>
      </c>
      <c r="AV41" s="1035">
        <v>17.100000000000001</v>
      </c>
      <c r="AW41" s="1050">
        <v>17.72</v>
      </c>
      <c r="AX41" s="1019"/>
      <c r="AY41" s="2219">
        <v>4.01</v>
      </c>
      <c r="AZ41" s="1043">
        <v>6.52</v>
      </c>
      <c r="BA41" s="1040">
        <v>-2.5099999999999998</v>
      </c>
      <c r="BB41" s="976">
        <v>-0.38496932515337423</v>
      </c>
      <c r="BC41" s="1021"/>
      <c r="BD41" s="1043">
        <v>4.01</v>
      </c>
      <c r="BE41" s="1043">
        <v>6.52</v>
      </c>
      <c r="BF41" s="1043">
        <v>8.1999999999999993</v>
      </c>
      <c r="BG41" s="1043">
        <v>6.82</v>
      </c>
      <c r="BH41" s="1043">
        <v>8.3000000000000007</v>
      </c>
      <c r="BI41" s="1043">
        <v>14</v>
      </c>
      <c r="BJ41" s="1043">
        <v>11.1</v>
      </c>
      <c r="BK41" s="1043">
        <v>5.4</v>
      </c>
      <c r="BL41" s="1043">
        <v>9.8000000000000007</v>
      </c>
      <c r="BM41" s="1043">
        <v>22.12</v>
      </c>
      <c r="BN41" s="1043">
        <v>20.8</v>
      </c>
      <c r="BO41" s="1043">
        <v>10.48</v>
      </c>
      <c r="BP41" s="1043">
        <v>0</v>
      </c>
      <c r="BQ41" s="972"/>
    </row>
    <row r="42" spans="1:72" ht="9.75" customHeight="1" x14ac:dyDescent="0.2">
      <c r="A42" s="971"/>
      <c r="B42" s="969"/>
      <c r="C42" s="2403"/>
      <c r="D42" s="2402"/>
      <c r="E42" s="927"/>
      <c r="F42" s="929"/>
      <c r="G42" s="929"/>
      <c r="H42" s="930"/>
      <c r="I42" s="2418"/>
      <c r="J42" s="1164"/>
      <c r="K42" s="1022"/>
      <c r="L42" s="989"/>
      <c r="M42" s="1032"/>
      <c r="N42" s="1022"/>
      <c r="O42" s="1022"/>
      <c r="P42" s="989"/>
      <c r="Q42" s="1032"/>
      <c r="R42" s="1022"/>
      <c r="S42" s="1022"/>
      <c r="T42" s="989"/>
      <c r="U42" s="1032"/>
      <c r="V42" s="1022"/>
      <c r="W42" s="1022"/>
      <c r="X42" s="989"/>
      <c r="Y42" s="1032"/>
      <c r="Z42" s="1022"/>
      <c r="AA42" s="1022"/>
      <c r="AB42" s="989"/>
      <c r="AC42" s="1032"/>
      <c r="AD42" s="1022"/>
      <c r="AE42" s="1022"/>
      <c r="AF42" s="989"/>
      <c r="AG42" s="1032"/>
      <c r="AH42" s="1022"/>
      <c r="AI42" s="1022"/>
      <c r="AJ42" s="989"/>
      <c r="AK42" s="1032"/>
      <c r="AL42" s="1022"/>
      <c r="AM42" s="1022"/>
      <c r="AN42" s="989"/>
      <c r="AO42" s="1032"/>
      <c r="AP42" s="992"/>
      <c r="AQ42" s="992"/>
      <c r="AR42" s="992"/>
      <c r="AS42" s="992"/>
      <c r="AT42" s="1018"/>
      <c r="AU42" s="1017"/>
      <c r="AV42" s="1017"/>
      <c r="AW42" s="1017"/>
      <c r="AX42" s="1019"/>
      <c r="AY42" s="989"/>
      <c r="AZ42" s="1018"/>
      <c r="BA42" s="992"/>
      <c r="BB42" s="976"/>
      <c r="BC42" s="1021"/>
      <c r="BD42" s="1018"/>
      <c r="BE42" s="1018"/>
      <c r="BF42" s="1018"/>
      <c r="BG42" s="1018"/>
      <c r="BH42" s="1018"/>
      <c r="BI42" s="1018"/>
      <c r="BJ42" s="1018"/>
      <c r="BK42" s="1018"/>
      <c r="BL42" s="1018"/>
      <c r="BM42" s="1018"/>
      <c r="BN42" s="1018"/>
      <c r="BO42" s="1018"/>
      <c r="BP42" s="1018"/>
      <c r="BQ42" s="972"/>
    </row>
    <row r="43" spans="1:72" ht="12.75" customHeight="1" x14ac:dyDescent="0.2">
      <c r="A43" s="969" t="s">
        <v>18</v>
      </c>
      <c r="B43" s="969"/>
      <c r="C43" s="2400"/>
      <c r="D43" s="2402"/>
      <c r="E43" s="927"/>
      <c r="F43" s="929"/>
      <c r="G43" s="929"/>
      <c r="H43" s="930"/>
      <c r="I43" s="2418"/>
      <c r="J43" s="1164"/>
      <c r="K43" s="1022"/>
      <c r="L43" s="989"/>
      <c r="M43" s="1032"/>
      <c r="N43" s="1022"/>
      <c r="O43" s="1022"/>
      <c r="P43" s="989"/>
      <c r="Q43" s="1032"/>
      <c r="R43" s="1022"/>
      <c r="S43" s="1022"/>
      <c r="T43" s="989"/>
      <c r="U43" s="1032"/>
      <c r="V43" s="1022"/>
      <c r="W43" s="1022"/>
      <c r="X43" s="989"/>
      <c r="Y43" s="1032"/>
      <c r="Z43" s="1022"/>
      <c r="AA43" s="1022"/>
      <c r="AB43" s="989"/>
      <c r="AC43" s="1032"/>
      <c r="AD43" s="1022"/>
      <c r="AE43" s="1022"/>
      <c r="AF43" s="989"/>
      <c r="AG43" s="1032"/>
      <c r="AH43" s="1022"/>
      <c r="AI43" s="1022"/>
      <c r="AJ43" s="989"/>
      <c r="AK43" s="1032"/>
      <c r="AL43" s="1022"/>
      <c r="AM43" s="1022"/>
      <c r="AN43" s="989"/>
      <c r="AO43" s="1032"/>
      <c r="AP43" s="992"/>
      <c r="AQ43" s="992"/>
      <c r="AR43" s="1051"/>
      <c r="AS43" s="992"/>
      <c r="AT43" s="1018"/>
      <c r="AU43" s="1017"/>
      <c r="AV43" s="1052"/>
      <c r="AW43" s="1017"/>
      <c r="AX43" s="1019"/>
      <c r="AY43" s="989"/>
      <c r="AZ43" s="989"/>
      <c r="BA43" s="992"/>
      <c r="BB43" s="976"/>
      <c r="BC43" s="1021"/>
      <c r="BD43" s="1018"/>
      <c r="BE43" s="1018"/>
      <c r="BF43" s="1018"/>
      <c r="BG43" s="1018"/>
      <c r="BH43" s="1018"/>
      <c r="BI43" s="1018"/>
      <c r="BJ43" s="1018"/>
      <c r="BK43" s="1018"/>
      <c r="BL43" s="1018"/>
      <c r="BM43" s="1018"/>
      <c r="BN43" s="1018"/>
      <c r="BO43" s="1018"/>
      <c r="BP43" s="1018"/>
      <c r="BQ43" s="972"/>
    </row>
    <row r="44" spans="1:72" s="940" customFormat="1" ht="13.5" customHeight="1" x14ac:dyDescent="0.2">
      <c r="A44" s="971"/>
      <c r="B44" s="969" t="s">
        <v>19</v>
      </c>
      <c r="C44" s="2400">
        <v>4069</v>
      </c>
      <c r="D44" s="2401">
        <v>4.3947379790037586E-2</v>
      </c>
      <c r="E44" s="937"/>
      <c r="F44" s="931"/>
      <c r="G44" s="931"/>
      <c r="H44" s="931"/>
      <c r="I44" s="2417">
        <v>96657</v>
      </c>
      <c r="J44" s="979">
        <v>89084</v>
      </c>
      <c r="K44" s="1025">
        <v>89201</v>
      </c>
      <c r="L44" s="1025">
        <v>90099</v>
      </c>
      <c r="M44" s="1053">
        <v>92588</v>
      </c>
      <c r="N44" s="1025">
        <v>91794.667000000001</v>
      </c>
      <c r="O44" s="1025">
        <v>90878.278999999995</v>
      </c>
      <c r="P44" s="1025">
        <v>91104</v>
      </c>
      <c r="Q44" s="1053">
        <v>91392.918999999994</v>
      </c>
      <c r="R44" s="1025">
        <v>93115.358999999997</v>
      </c>
      <c r="S44" s="1025">
        <v>92911.964000000007</v>
      </c>
      <c r="T44" s="1025">
        <v>93951.271999999997</v>
      </c>
      <c r="U44" s="1053">
        <v>94935.751999999993</v>
      </c>
      <c r="V44" s="1025">
        <v>93061.796000000002</v>
      </c>
      <c r="W44" s="1025">
        <v>92521.668999999994</v>
      </c>
      <c r="X44" s="1025">
        <v>93991.129000000001</v>
      </c>
      <c r="Y44" s="1053">
        <v>93566.31</v>
      </c>
      <c r="Z44" s="1025">
        <v>94025.876999999993</v>
      </c>
      <c r="AA44" s="1025">
        <v>74998.990000000005</v>
      </c>
      <c r="AB44" s="1025">
        <v>76232.323999999993</v>
      </c>
      <c r="AC44" s="1053">
        <v>75596.665999999997</v>
      </c>
      <c r="AD44" s="1025">
        <v>75404</v>
      </c>
      <c r="AE44" s="1025">
        <v>75055</v>
      </c>
      <c r="AF44" s="1025">
        <v>74552</v>
      </c>
      <c r="AG44" s="1053">
        <v>74961.240000000005</v>
      </c>
      <c r="AH44" s="1025">
        <v>48868</v>
      </c>
      <c r="AI44" s="1025">
        <v>48106</v>
      </c>
      <c r="AJ44" s="1025">
        <v>48681</v>
      </c>
      <c r="AK44" s="1053">
        <v>49118</v>
      </c>
      <c r="AL44" s="1025">
        <v>49343</v>
      </c>
      <c r="AM44" s="1025">
        <v>49108</v>
      </c>
      <c r="AN44" s="1025">
        <v>48274</v>
      </c>
      <c r="AO44" s="1053">
        <v>50069</v>
      </c>
      <c r="AP44" s="1025">
        <v>43873</v>
      </c>
      <c r="AQ44" s="1025">
        <v>44191</v>
      </c>
      <c r="AR44" s="1025">
        <v>44548</v>
      </c>
      <c r="AS44" s="1025">
        <v>45183.714</v>
      </c>
      <c r="AT44" s="1054">
        <v>45973.118999999999</v>
      </c>
      <c r="AU44" s="1053">
        <v>46320.542000000001</v>
      </c>
      <c r="AV44" s="1053">
        <v>46199.726000000002</v>
      </c>
      <c r="AW44" s="1053">
        <v>45906.368000000002</v>
      </c>
      <c r="AX44" s="1055"/>
      <c r="AY44" s="2220">
        <v>89084</v>
      </c>
      <c r="AZ44" s="1054">
        <v>91794.667000000001</v>
      </c>
      <c r="BA44" s="992">
        <v>-2710.6670000000013</v>
      </c>
      <c r="BB44" s="1056">
        <v>-2.9529678450710011E-2</v>
      </c>
      <c r="BC44" s="1057"/>
      <c r="BD44" s="1054">
        <v>89084</v>
      </c>
      <c r="BE44" s="1054">
        <v>91794.667000000001</v>
      </c>
      <c r="BF44" s="1054">
        <v>93115.358999999997</v>
      </c>
      <c r="BG44" s="1054">
        <v>93061.796000000002</v>
      </c>
      <c r="BH44" s="1054">
        <v>94025.876999999993</v>
      </c>
      <c r="BI44" s="1054">
        <v>75404</v>
      </c>
      <c r="BJ44" s="1054">
        <v>48868</v>
      </c>
      <c r="BK44" s="1054">
        <v>49343</v>
      </c>
      <c r="BL44" s="1054">
        <v>43873</v>
      </c>
      <c r="BM44" s="1054">
        <v>45973.118999999999</v>
      </c>
      <c r="BN44" s="1054">
        <v>45746.033000000003</v>
      </c>
      <c r="BO44" s="1054">
        <v>45413.311000000002</v>
      </c>
      <c r="BP44" s="1054">
        <v>29983</v>
      </c>
      <c r="BQ44" s="1058"/>
      <c r="BR44" s="2382"/>
    </row>
    <row r="45" spans="1:72" s="940" customFormat="1" ht="13.5" customHeight="1" x14ac:dyDescent="0.2">
      <c r="A45" s="971"/>
      <c r="B45" s="969" t="s">
        <v>20</v>
      </c>
      <c r="C45" s="2400">
        <v>8333</v>
      </c>
      <c r="D45" s="2401">
        <v>8.0692954254948296E-2</v>
      </c>
      <c r="E45" s="937"/>
      <c r="F45" s="931"/>
      <c r="G45" s="931"/>
      <c r="H45" s="931"/>
      <c r="I45" s="2417">
        <v>111601</v>
      </c>
      <c r="J45" s="979">
        <v>103813</v>
      </c>
      <c r="K45" s="1025">
        <v>103108</v>
      </c>
      <c r="L45" s="1025">
        <v>102978.795</v>
      </c>
      <c r="M45" s="1053">
        <v>103268</v>
      </c>
      <c r="N45" s="1025">
        <v>102607.705</v>
      </c>
      <c r="O45" s="1025">
        <v>101883.242</v>
      </c>
      <c r="P45" s="1025">
        <v>102163</v>
      </c>
      <c r="Q45" s="1053">
        <v>101982.93799999999</v>
      </c>
      <c r="R45" s="1025">
        <v>101471.45600000001</v>
      </c>
      <c r="S45" s="1025">
        <v>101818.94100000001</v>
      </c>
      <c r="T45" s="1025">
        <v>102519.742</v>
      </c>
      <c r="U45" s="1053">
        <v>103570.194</v>
      </c>
      <c r="V45" s="1025">
        <v>102896.17200000001</v>
      </c>
      <c r="W45" s="1025">
        <v>102512.817</v>
      </c>
      <c r="X45" s="1025">
        <v>102381.448</v>
      </c>
      <c r="Y45" s="1053">
        <v>102030.601</v>
      </c>
      <c r="Z45" s="1025">
        <v>101688.72100000001</v>
      </c>
      <c r="AA45" s="1025">
        <v>83412.456000000006</v>
      </c>
      <c r="AB45" s="1025">
        <v>83321.695999999996</v>
      </c>
      <c r="AC45" s="1053">
        <v>83097.441000000006</v>
      </c>
      <c r="AD45" s="1025">
        <v>82810</v>
      </c>
      <c r="AE45" s="1025">
        <v>82626</v>
      </c>
      <c r="AF45" s="1025">
        <v>82553</v>
      </c>
      <c r="AG45" s="1053">
        <v>82307.929999999993</v>
      </c>
      <c r="AH45" s="1025">
        <v>55571</v>
      </c>
      <c r="AI45" s="1025">
        <v>55405</v>
      </c>
      <c r="AJ45" s="1025">
        <v>55359</v>
      </c>
      <c r="AK45" s="1053">
        <v>55234</v>
      </c>
      <c r="AL45" s="1025">
        <v>55093</v>
      </c>
      <c r="AM45" s="1025">
        <v>54636</v>
      </c>
      <c r="AN45" s="1025">
        <v>54553</v>
      </c>
      <c r="AO45" s="1053">
        <v>54591</v>
      </c>
      <c r="AP45" s="1025">
        <v>47835</v>
      </c>
      <c r="AQ45" s="1025">
        <v>47835</v>
      </c>
      <c r="AR45" s="1025">
        <v>47866</v>
      </c>
      <c r="AS45" s="1025">
        <v>47864.233999999997</v>
      </c>
      <c r="AT45" s="1054">
        <v>47831.961000000003</v>
      </c>
      <c r="AU45" s="1053">
        <v>47831.203000000001</v>
      </c>
      <c r="AV45" s="1053">
        <v>47827.35</v>
      </c>
      <c r="AW45" s="1053">
        <v>47827.35</v>
      </c>
      <c r="AX45" s="1055"/>
      <c r="AY45" s="2220">
        <v>103812</v>
      </c>
      <c r="AZ45" s="1054">
        <v>102607.705</v>
      </c>
      <c r="BA45" s="992">
        <v>1204.2949999999983</v>
      </c>
      <c r="BB45" s="1056">
        <v>1.1736886620746446E-2</v>
      </c>
      <c r="BC45" s="1057"/>
      <c r="BD45" s="1054">
        <v>103812</v>
      </c>
      <c r="BE45" s="1054">
        <v>102607.705</v>
      </c>
      <c r="BF45" s="1054">
        <v>101471.45600000001</v>
      </c>
      <c r="BG45" s="1054">
        <v>102896.17200000001</v>
      </c>
      <c r="BH45" s="1054">
        <v>101688.72100000001</v>
      </c>
      <c r="BI45" s="1054">
        <v>82810</v>
      </c>
      <c r="BJ45" s="1054">
        <v>55571</v>
      </c>
      <c r="BK45" s="1054">
        <v>55093</v>
      </c>
      <c r="BL45" s="1054">
        <v>47835</v>
      </c>
      <c r="BM45" s="1054">
        <v>47831.961000000003</v>
      </c>
      <c r="BN45" s="1054">
        <v>47827.35</v>
      </c>
      <c r="BO45" s="1054">
        <v>46129.267999999996</v>
      </c>
      <c r="BP45" s="1054">
        <v>38089</v>
      </c>
      <c r="BQ45" s="1058"/>
      <c r="BR45" s="2382"/>
    </row>
    <row r="46" spans="1:72" s="940" customFormat="1" ht="13.5" customHeight="1" x14ac:dyDescent="0.2">
      <c r="A46" s="971"/>
      <c r="B46" s="969" t="s">
        <v>21</v>
      </c>
      <c r="C46" s="2400">
        <v>4522</v>
      </c>
      <c r="D46" s="2401">
        <v>4.0869447331555876E-2</v>
      </c>
      <c r="E46" s="937"/>
      <c r="F46" s="931"/>
      <c r="G46" s="931"/>
      <c r="H46" s="931"/>
      <c r="I46" s="2417">
        <v>115167</v>
      </c>
      <c r="J46" s="979">
        <v>109072</v>
      </c>
      <c r="K46" s="1025">
        <v>109541</v>
      </c>
      <c r="L46" s="1025">
        <v>110069.022</v>
      </c>
      <c r="M46" s="1053">
        <v>110645</v>
      </c>
      <c r="N46" s="1025">
        <v>104651.985</v>
      </c>
      <c r="O46" s="1025">
        <v>104356.9</v>
      </c>
      <c r="P46" s="1025">
        <v>105275</v>
      </c>
      <c r="Q46" s="1053">
        <v>105470</v>
      </c>
      <c r="R46" s="1025">
        <v>107945.18399999999</v>
      </c>
      <c r="S46" s="1025">
        <v>108409.478</v>
      </c>
      <c r="T46" s="1025">
        <v>109603.592</v>
      </c>
      <c r="U46" s="1053">
        <v>109667.482</v>
      </c>
      <c r="V46" s="1025">
        <v>109882.489</v>
      </c>
      <c r="W46" s="1025">
        <v>110968.91800000001</v>
      </c>
      <c r="X46" s="1025">
        <v>108789.11900000001</v>
      </c>
      <c r="Y46" s="1053">
        <v>107853.796</v>
      </c>
      <c r="Z46" s="1025">
        <v>106656.02800000001</v>
      </c>
      <c r="AA46" s="1025">
        <v>86787.168999999994</v>
      </c>
      <c r="AB46" s="1025">
        <v>85979.111000000004</v>
      </c>
      <c r="AC46" s="1053">
        <v>86236</v>
      </c>
      <c r="AD46" s="1025">
        <v>86080.047999999995</v>
      </c>
      <c r="AE46" s="1025">
        <v>85938.028000000006</v>
      </c>
      <c r="AF46" s="1025">
        <v>84565</v>
      </c>
      <c r="AG46" s="1053">
        <v>85357.03</v>
      </c>
      <c r="AH46" s="1025">
        <v>57814</v>
      </c>
      <c r="AI46" s="1025">
        <v>57267</v>
      </c>
      <c r="AJ46" s="1025">
        <v>57226</v>
      </c>
      <c r="AK46" s="1053">
        <v>57245</v>
      </c>
      <c r="AL46" s="1025">
        <v>57251</v>
      </c>
      <c r="AM46" s="1025">
        <v>56210</v>
      </c>
      <c r="AN46" s="1025">
        <v>57981</v>
      </c>
      <c r="AO46" s="1053">
        <v>57466</v>
      </c>
      <c r="AP46" s="1025">
        <v>49556</v>
      </c>
      <c r="AQ46" s="1025">
        <v>49096</v>
      </c>
      <c r="AR46" s="1025">
        <v>48830</v>
      </c>
      <c r="AS46" s="1025">
        <v>48872.326999999997</v>
      </c>
      <c r="AT46" s="1054">
        <v>48084.303999999996</v>
      </c>
      <c r="AU46" s="1053">
        <v>48045.762000000002</v>
      </c>
      <c r="AV46" s="1053">
        <v>47962</v>
      </c>
      <c r="AW46" s="1053">
        <v>47950.567999999999</v>
      </c>
      <c r="AX46" s="1055"/>
      <c r="AY46" s="2220">
        <v>109072</v>
      </c>
      <c r="AZ46" s="1054">
        <v>104704.48299999999</v>
      </c>
      <c r="BA46" s="992">
        <v>4367.5170000000071</v>
      </c>
      <c r="BB46" s="1056">
        <v>4.1712798486383887E-2</v>
      </c>
      <c r="BC46" s="1057"/>
      <c r="BD46" s="1054">
        <v>109072</v>
      </c>
      <c r="BE46" s="1054">
        <v>104704.48299999999</v>
      </c>
      <c r="BF46" s="1054">
        <v>107937.492</v>
      </c>
      <c r="BG46" s="1054">
        <v>109879.724</v>
      </c>
      <c r="BH46" s="1054">
        <v>106883.242</v>
      </c>
      <c r="BI46" s="1054">
        <v>85655</v>
      </c>
      <c r="BJ46" s="1054">
        <v>57767</v>
      </c>
      <c r="BK46" s="1054">
        <v>57251</v>
      </c>
      <c r="BL46" s="1054">
        <v>49556</v>
      </c>
      <c r="BM46" s="1054">
        <v>48084.303999999996</v>
      </c>
      <c r="BN46" s="1054">
        <v>48017.400999999998</v>
      </c>
      <c r="BO46" s="1054">
        <v>46129.267999999996</v>
      </c>
      <c r="BP46" s="1054">
        <v>38089</v>
      </c>
      <c r="BQ46" s="1058"/>
      <c r="BR46" s="2382"/>
    </row>
    <row r="47" spans="1:72" s="940" customFormat="1" ht="13.5" customHeight="1" x14ac:dyDescent="0.2">
      <c r="A47" s="971"/>
      <c r="B47" s="969" t="s">
        <v>22</v>
      </c>
      <c r="C47" s="2400">
        <v>-2511.3059999999969</v>
      </c>
      <c r="D47" s="2401">
        <v>-2.7208876497435332E-2</v>
      </c>
      <c r="E47" s="937"/>
      <c r="F47" s="931"/>
      <c r="G47" s="931"/>
      <c r="H47" s="931"/>
      <c r="I47" s="2417">
        <v>89786</v>
      </c>
      <c r="J47" s="979">
        <v>88948</v>
      </c>
      <c r="K47" s="1025">
        <v>89336</v>
      </c>
      <c r="L47" s="1025">
        <v>91465</v>
      </c>
      <c r="M47" s="1053">
        <v>92297.305999999997</v>
      </c>
      <c r="N47" s="1025">
        <v>91252</v>
      </c>
      <c r="O47" s="1025">
        <v>91404.244999999995</v>
      </c>
      <c r="P47" s="1025">
        <v>91070.282999999996</v>
      </c>
      <c r="Q47" s="1053">
        <v>92763.055999999997</v>
      </c>
      <c r="R47" s="1025">
        <v>92929.73</v>
      </c>
      <c r="S47" s="1025">
        <v>93369.398000000001</v>
      </c>
      <c r="T47" s="1025">
        <v>94485.744999999995</v>
      </c>
      <c r="U47" s="1053">
        <v>94524.19</v>
      </c>
      <c r="V47" s="1025">
        <v>92662.737999999998</v>
      </c>
      <c r="W47" s="1025">
        <v>92268.072</v>
      </c>
      <c r="X47" s="1025">
        <v>93715.828999999998</v>
      </c>
      <c r="Y47" s="1053">
        <v>94145.084000000003</v>
      </c>
      <c r="Z47" s="1025">
        <v>77829.903999999995</v>
      </c>
      <c r="AA47" s="1025">
        <v>75220.877999999997</v>
      </c>
      <c r="AB47" s="1025">
        <v>76073.22</v>
      </c>
      <c r="AC47" s="1053">
        <v>75086.957999999999</v>
      </c>
      <c r="AD47" s="1025">
        <v>75194.373999999996</v>
      </c>
      <c r="AE47" s="1025">
        <v>74947</v>
      </c>
      <c r="AF47" s="1025">
        <v>74235</v>
      </c>
      <c r="AG47" s="1053">
        <v>67930.712</v>
      </c>
      <c r="AH47" s="1025">
        <v>48697</v>
      </c>
      <c r="AI47" s="1025">
        <v>48147</v>
      </c>
      <c r="AJ47" s="1025">
        <v>48536</v>
      </c>
      <c r="AK47" s="1053">
        <v>48165</v>
      </c>
      <c r="AL47" s="1025">
        <v>49352</v>
      </c>
      <c r="AM47" s="1025">
        <v>49073</v>
      </c>
      <c r="AN47" s="1025">
        <v>49021</v>
      </c>
      <c r="AO47" s="1053">
        <v>47519</v>
      </c>
      <c r="AP47" s="1025">
        <v>44165</v>
      </c>
      <c r="AQ47" s="1025">
        <v>44442</v>
      </c>
      <c r="AR47" s="1025">
        <v>44972</v>
      </c>
      <c r="AS47" s="1025">
        <v>45170.531999999999</v>
      </c>
      <c r="AT47" s="1054">
        <v>45970.574000000001</v>
      </c>
      <c r="AU47" s="1053">
        <v>46273.767999999996</v>
      </c>
      <c r="AV47" s="1053">
        <v>46152.802000000003</v>
      </c>
      <c r="AW47" s="1053">
        <v>45906.368000000002</v>
      </c>
      <c r="AX47" s="1055"/>
      <c r="AY47" s="2220">
        <v>90553</v>
      </c>
      <c r="AZ47" s="1054">
        <v>91693</v>
      </c>
      <c r="BA47" s="992">
        <v>-1140</v>
      </c>
      <c r="BB47" s="1056">
        <v>-1.2432792034288332E-2</v>
      </c>
      <c r="BC47" s="1057"/>
      <c r="BD47" s="1054">
        <v>90553</v>
      </c>
      <c r="BE47" s="1054">
        <v>91693</v>
      </c>
      <c r="BF47" s="1054">
        <v>94124.672000000006</v>
      </c>
      <c r="BG47" s="1054">
        <v>92217.725999999995</v>
      </c>
      <c r="BH47" s="1054">
        <v>76715.248000000007</v>
      </c>
      <c r="BI47" s="1054">
        <v>72989.654999999999</v>
      </c>
      <c r="BJ47" s="1054">
        <v>48698</v>
      </c>
      <c r="BK47" s="1054">
        <v>48929</v>
      </c>
      <c r="BL47" s="1054">
        <v>44778</v>
      </c>
      <c r="BM47" s="1054">
        <v>45969.345999999998</v>
      </c>
      <c r="BN47" s="1054">
        <v>44606.133999999998</v>
      </c>
      <c r="BO47" s="1054">
        <v>41634.92</v>
      </c>
      <c r="BP47" s="1054">
        <v>28298</v>
      </c>
      <c r="BQ47" s="1058"/>
      <c r="BR47" s="2382"/>
      <c r="BT47" s="941"/>
    </row>
    <row r="48" spans="1:72" s="940" customFormat="1" ht="13.5" customHeight="1" x14ac:dyDescent="0.2">
      <c r="A48" s="971"/>
      <c r="B48" s="969" t="s">
        <v>251</v>
      </c>
      <c r="C48" s="2400">
        <v>-3917.4869999999937</v>
      </c>
      <c r="D48" s="2401">
        <v>-4.0483922910211613E-2</v>
      </c>
      <c r="E48" s="937"/>
      <c r="F48" s="933"/>
      <c r="G48" s="933"/>
      <c r="H48" s="933"/>
      <c r="I48" s="2417">
        <v>92849</v>
      </c>
      <c r="J48" s="1921" t="s">
        <v>177</v>
      </c>
      <c r="K48" s="1028" t="s">
        <v>177</v>
      </c>
      <c r="L48" s="1028" t="s">
        <v>177</v>
      </c>
      <c r="M48" s="1053">
        <v>96766.486999999994</v>
      </c>
      <c r="N48" s="1028" t="s">
        <v>177</v>
      </c>
      <c r="O48" s="1028" t="s">
        <v>177</v>
      </c>
      <c r="P48" s="1028">
        <v>101058.61599999999</v>
      </c>
      <c r="Q48" s="1053">
        <v>102202.969</v>
      </c>
      <c r="R48" s="1025">
        <v>102217.59299999999</v>
      </c>
      <c r="S48" s="1025">
        <v>102667.38499999999</v>
      </c>
      <c r="T48" s="1028" t="s">
        <v>177</v>
      </c>
      <c r="U48" s="1053">
        <v>102769.92200000001</v>
      </c>
      <c r="V48" s="1025">
        <v>103045.02099999999</v>
      </c>
      <c r="W48" s="1025">
        <v>102454.353</v>
      </c>
      <c r="X48" s="1028" t="s">
        <v>177</v>
      </c>
      <c r="Y48" s="1059" t="s">
        <v>177</v>
      </c>
      <c r="Z48" s="1028" t="s">
        <v>177</v>
      </c>
      <c r="AA48" s="1025">
        <v>83821.7</v>
      </c>
      <c r="AB48" s="1025">
        <v>83922</v>
      </c>
      <c r="AC48" s="1053">
        <v>84283</v>
      </c>
      <c r="AD48" s="1025">
        <v>84571</v>
      </c>
      <c r="AE48" s="1025">
        <v>83643</v>
      </c>
      <c r="AF48" s="1025">
        <v>82976</v>
      </c>
      <c r="AG48" s="1053">
        <v>76217.240000000005</v>
      </c>
      <c r="AH48" s="1025">
        <v>56052</v>
      </c>
      <c r="AI48" s="1025">
        <v>56274</v>
      </c>
      <c r="AJ48" s="1025">
        <v>55590</v>
      </c>
      <c r="AK48" s="1053">
        <v>55331</v>
      </c>
      <c r="AL48" s="1025">
        <v>54748</v>
      </c>
      <c r="AM48" s="1025">
        <v>55219</v>
      </c>
      <c r="AN48" s="1025">
        <v>55139</v>
      </c>
      <c r="AO48" s="1053">
        <v>52720</v>
      </c>
      <c r="AP48" s="1025">
        <v>48490</v>
      </c>
      <c r="AQ48" s="1025">
        <v>48324</v>
      </c>
      <c r="AR48" s="1025">
        <v>48270</v>
      </c>
      <c r="AS48" s="1025">
        <v>48859.144999999997</v>
      </c>
      <c r="AT48" s="1054">
        <v>48081.758999999998</v>
      </c>
      <c r="AU48" s="1053">
        <v>48045.762000000002</v>
      </c>
      <c r="AV48" s="1053">
        <v>47961.593999999997</v>
      </c>
      <c r="AW48" s="1053">
        <v>47998.175000000003</v>
      </c>
      <c r="AX48" s="1055"/>
      <c r="AY48" s="2221" t="s">
        <v>177</v>
      </c>
      <c r="AZ48" s="2220" t="s">
        <v>42</v>
      </c>
      <c r="BA48" s="1028" t="s">
        <v>42</v>
      </c>
      <c r="BB48" s="1056" t="s">
        <v>42</v>
      </c>
      <c r="BC48" s="1057"/>
      <c r="BD48" s="1060" t="s">
        <v>177</v>
      </c>
      <c r="BE48" s="1060" t="s">
        <v>177</v>
      </c>
      <c r="BF48" s="1054">
        <v>101992.679</v>
      </c>
      <c r="BG48" s="1060" t="s">
        <v>177</v>
      </c>
      <c r="BH48" s="1060" t="s">
        <v>177</v>
      </c>
      <c r="BI48" s="1054">
        <v>81716.618000000002</v>
      </c>
      <c r="BJ48" s="1054">
        <v>55662</v>
      </c>
      <c r="BK48" s="1054">
        <v>54189</v>
      </c>
      <c r="BL48" s="1054">
        <v>48727</v>
      </c>
      <c r="BM48" s="1054">
        <v>48080.531000000003</v>
      </c>
      <c r="BN48" s="1054">
        <v>46699.303999999996</v>
      </c>
      <c r="BO48" s="1054">
        <v>44188.296999999999</v>
      </c>
      <c r="BP48" s="1054">
        <v>37096</v>
      </c>
      <c r="BQ48" s="1058"/>
      <c r="BR48" s="2382"/>
      <c r="BT48" s="941"/>
    </row>
    <row r="49" spans="1:73" ht="9.75" customHeight="1" x14ac:dyDescent="0.2">
      <c r="A49" s="971"/>
      <c r="B49" s="969"/>
      <c r="C49" s="2400"/>
      <c r="D49" s="2402"/>
      <c r="E49" s="927"/>
      <c r="F49" s="929"/>
      <c r="G49" s="929"/>
      <c r="H49" s="930"/>
      <c r="I49" s="2418"/>
      <c r="J49" s="1164"/>
      <c r="K49" s="1022"/>
      <c r="L49" s="989"/>
      <c r="M49" s="1032"/>
      <c r="N49" s="1022"/>
      <c r="O49" s="1022"/>
      <c r="P49" s="989"/>
      <c r="Q49" s="1032"/>
      <c r="R49" s="1022"/>
      <c r="S49" s="1022"/>
      <c r="T49" s="989"/>
      <c r="U49" s="1032"/>
      <c r="V49" s="1022"/>
      <c r="W49" s="1022"/>
      <c r="X49" s="989"/>
      <c r="Y49" s="1032"/>
      <c r="Z49" s="1022"/>
      <c r="AA49" s="1022"/>
      <c r="AB49" s="989"/>
      <c r="AC49" s="1032"/>
      <c r="AD49" s="1022"/>
      <c r="AE49" s="1022"/>
      <c r="AF49" s="989"/>
      <c r="AG49" s="1032"/>
      <c r="AH49" s="1022"/>
      <c r="AI49" s="1022"/>
      <c r="AJ49" s="989"/>
      <c r="AK49" s="1032"/>
      <c r="AL49" s="1022"/>
      <c r="AM49" s="1022"/>
      <c r="AN49" s="989"/>
      <c r="AO49" s="1032"/>
      <c r="AP49" s="989"/>
      <c r="AQ49" s="989"/>
      <c r="AR49" s="989"/>
      <c r="AS49" s="989"/>
      <c r="AT49" s="1047"/>
      <c r="AU49" s="1050"/>
      <c r="AV49" s="1050"/>
      <c r="AW49" s="1050"/>
      <c r="AX49" s="1019"/>
      <c r="AY49" s="989"/>
      <c r="AZ49" s="969"/>
      <c r="BA49" s="992"/>
      <c r="BB49" s="976"/>
      <c r="BC49" s="1021"/>
      <c r="BD49" s="1018"/>
      <c r="BE49" s="1018"/>
      <c r="BF49" s="1018"/>
      <c r="BG49" s="1018"/>
      <c r="BH49" s="1018"/>
      <c r="BI49" s="1018"/>
      <c r="BJ49" s="1018"/>
      <c r="BK49" s="1018"/>
      <c r="BL49" s="1018"/>
      <c r="BM49" s="1018"/>
      <c r="BN49" s="1018"/>
      <c r="BO49" s="1018"/>
      <c r="BP49" s="1018"/>
      <c r="BQ49" s="972"/>
    </row>
    <row r="50" spans="1:73" ht="12.75" customHeight="1" x14ac:dyDescent="0.2">
      <c r="A50" s="969" t="s">
        <v>274</v>
      </c>
      <c r="B50" s="969"/>
      <c r="C50" s="2400">
        <v>-294196.45999999996</v>
      </c>
      <c r="D50" s="2401">
        <v>-0.34176379423248648</v>
      </c>
      <c r="E50" s="927"/>
      <c r="F50" s="2372">
        <v>0</v>
      </c>
      <c r="G50" s="2372">
        <v>0</v>
      </c>
      <c r="H50" s="2372">
        <v>0</v>
      </c>
      <c r="I50" s="2420">
        <v>566621.64</v>
      </c>
      <c r="J50" s="1061">
        <v>437378.72</v>
      </c>
      <c r="K50" s="1027">
        <v>559754.51</v>
      </c>
      <c r="L50" s="1027">
        <v>575660.98505999998</v>
      </c>
      <c r="M50" s="1027">
        <v>860818.1</v>
      </c>
      <c r="N50" s="1061">
        <v>682330.94219999993</v>
      </c>
      <c r="O50" s="1027">
        <v>815027.38899999997</v>
      </c>
      <c r="P50" s="1027">
        <v>1178027.25</v>
      </c>
      <c r="Q50" s="1062">
        <v>1296226.2999999998</v>
      </c>
      <c r="R50" s="1027">
        <v>885150.50879999984</v>
      </c>
      <c r="S50" s="1027">
        <v>753445.87210000004</v>
      </c>
      <c r="T50" s="1027">
        <v>726671.81495999999</v>
      </c>
      <c r="U50" s="1062">
        <v>626201.32221999997</v>
      </c>
      <c r="V50" s="1027">
        <v>749398.57498000003</v>
      </c>
      <c r="W50" s="1027">
        <v>743491.75060000003</v>
      </c>
      <c r="X50" s="1027">
        <v>617922.19591999997</v>
      </c>
      <c r="Y50" s="1062">
        <v>593195.87800000003</v>
      </c>
      <c r="Z50" s="1027">
        <v>885245.03240000014</v>
      </c>
      <c r="AA50" s="1027">
        <v>676939.91819999996</v>
      </c>
      <c r="AB50" s="1027">
        <v>821100.51005000016</v>
      </c>
      <c r="AC50" s="1062">
        <v>1065876.96</v>
      </c>
      <c r="AD50" s="1027">
        <v>1205120.672</v>
      </c>
      <c r="AE50" s="1027">
        <v>1216882.47648</v>
      </c>
      <c r="AF50" s="1027">
        <v>876939.04999999993</v>
      </c>
      <c r="AG50" s="1062">
        <v>801502.51170000003</v>
      </c>
      <c r="AH50" s="1027">
        <v>641735.4</v>
      </c>
      <c r="AI50" s="1027">
        <v>593858.79</v>
      </c>
      <c r="AJ50" s="1027">
        <v>583705.19999999995</v>
      </c>
      <c r="AK50" s="1062">
        <v>397852.75</v>
      </c>
      <c r="AL50" s="1027">
        <v>309155.40000000002</v>
      </c>
      <c r="AM50" s="1027">
        <v>227088.4</v>
      </c>
      <c r="AN50" s="1027">
        <v>462688.38</v>
      </c>
      <c r="AO50" s="1062">
        <v>456854.7</v>
      </c>
      <c r="AP50" s="1027">
        <v>485648.8</v>
      </c>
      <c r="AQ50" s="1027">
        <v>751168.8</v>
      </c>
      <c r="AR50" s="1027">
        <v>926793.4</v>
      </c>
      <c r="AS50" s="1027">
        <v>1018010.5714099999</v>
      </c>
      <c r="AT50" s="1063">
        <v>1063624.8044799999</v>
      </c>
      <c r="AU50" s="1062">
        <v>893651.17320000008</v>
      </c>
      <c r="AV50" s="1062">
        <v>820150</v>
      </c>
      <c r="AW50" s="1062">
        <v>849684.06495999999</v>
      </c>
      <c r="AX50" s="1019"/>
      <c r="AY50" s="1020">
        <v>437378.72</v>
      </c>
      <c r="AZ50" s="1064">
        <v>682673</v>
      </c>
      <c r="BA50" s="992">
        <v>-245294.5091599999</v>
      </c>
      <c r="BB50" s="976">
        <v>-0.35931479516547438</v>
      </c>
      <c r="BC50" s="1065"/>
      <c r="BD50" s="1063">
        <v>437378.72</v>
      </c>
      <c r="BE50" s="1063">
        <v>682673.22915999987</v>
      </c>
      <c r="BF50" s="1063">
        <v>885087.43439999991</v>
      </c>
      <c r="BG50" s="1018">
        <v>749379.71768</v>
      </c>
      <c r="BH50" s="1018">
        <v>887130.90860000008</v>
      </c>
      <c r="BI50" s="1018">
        <v>1199170</v>
      </c>
      <c r="BJ50" s="1018">
        <v>640259.1</v>
      </c>
      <c r="BK50" s="1018">
        <v>309155.40000000002</v>
      </c>
      <c r="BL50" s="1018">
        <v>485648.8</v>
      </c>
      <c r="BM50" s="1063">
        <v>1063624.8044799999</v>
      </c>
      <c r="BN50" s="1063">
        <v>998761.94079999998</v>
      </c>
      <c r="BO50" s="1063">
        <v>483434.72863999999</v>
      </c>
      <c r="BP50" s="1063" t="s">
        <v>42</v>
      </c>
      <c r="BQ50" s="972"/>
      <c r="BT50" s="942"/>
      <c r="BU50" s="942"/>
    </row>
    <row r="51" spans="1:73" ht="9.75" customHeight="1" x14ac:dyDescent="0.2">
      <c r="A51" s="971"/>
      <c r="B51" s="969"/>
      <c r="C51" s="2400"/>
      <c r="D51" s="2402"/>
      <c r="E51" s="927"/>
      <c r="F51" s="929"/>
      <c r="G51" s="929"/>
      <c r="H51" s="930"/>
      <c r="I51" s="2418"/>
      <c r="J51" s="1164"/>
      <c r="K51" s="1022"/>
      <c r="L51" s="989"/>
      <c r="M51" s="1032"/>
      <c r="N51" s="1022"/>
      <c r="O51" s="1022"/>
      <c r="P51" s="989"/>
      <c r="Q51" s="1032"/>
      <c r="R51" s="1022"/>
      <c r="S51" s="1022"/>
      <c r="T51" s="989"/>
      <c r="U51" s="1032"/>
      <c r="V51" s="1022"/>
      <c r="W51" s="1022"/>
      <c r="X51" s="989"/>
      <c r="Y51" s="1032"/>
      <c r="Z51" s="1022"/>
      <c r="AA51" s="1022"/>
      <c r="AB51" s="989"/>
      <c r="AC51" s="1032"/>
      <c r="AD51" s="1022"/>
      <c r="AE51" s="1022"/>
      <c r="AF51" s="989"/>
      <c r="AG51" s="1032"/>
      <c r="AH51" s="1022"/>
      <c r="AI51" s="1022"/>
      <c r="AJ51" s="989"/>
      <c r="AK51" s="1032"/>
      <c r="AL51" s="1022"/>
      <c r="AM51" s="1022"/>
      <c r="AN51" s="989"/>
      <c r="AO51" s="1032"/>
      <c r="AP51" s="1066"/>
      <c r="AQ51" s="1066"/>
      <c r="AR51" s="1066"/>
      <c r="AS51" s="1066"/>
      <c r="AT51" s="1067"/>
      <c r="AU51" s="1068"/>
      <c r="AV51" s="1068"/>
      <c r="AW51" s="1069"/>
      <c r="AX51" s="1019"/>
      <c r="AY51" s="989"/>
      <c r="AZ51" s="989"/>
      <c r="BA51" s="1066"/>
      <c r="BB51" s="1070"/>
      <c r="BC51" s="1021"/>
      <c r="BD51" s="1067"/>
      <c r="BE51" s="1067"/>
      <c r="BF51" s="1067"/>
      <c r="BG51" s="1067"/>
      <c r="BH51" s="1067"/>
      <c r="BI51" s="1067"/>
      <c r="BJ51" s="1067"/>
      <c r="BK51" s="1067"/>
      <c r="BL51" s="1067"/>
      <c r="BM51" s="1067"/>
      <c r="BN51" s="1067"/>
      <c r="BO51" s="1067"/>
      <c r="BP51" s="1067"/>
      <c r="BQ51" s="972"/>
    </row>
    <row r="52" spans="1:73" ht="12" customHeight="1" x14ac:dyDescent="0.2">
      <c r="A52" s="970" t="s">
        <v>239</v>
      </c>
      <c r="B52" s="969"/>
      <c r="C52" s="2400"/>
      <c r="D52" s="2402"/>
      <c r="E52" s="927"/>
      <c r="F52" s="929"/>
      <c r="G52" s="929"/>
      <c r="H52" s="930"/>
      <c r="I52" s="2418"/>
      <c r="J52" s="1164"/>
      <c r="K52" s="1022"/>
      <c r="L52" s="989"/>
      <c r="M52" s="1032"/>
      <c r="N52" s="1022"/>
      <c r="O52" s="1022"/>
      <c r="P52" s="989"/>
      <c r="Q52" s="1032"/>
      <c r="R52" s="1022"/>
      <c r="S52" s="1022"/>
      <c r="T52" s="989"/>
      <c r="U52" s="1032"/>
      <c r="V52" s="1022"/>
      <c r="W52" s="1022"/>
      <c r="X52" s="989"/>
      <c r="Y52" s="1032"/>
      <c r="Z52" s="1022"/>
      <c r="AA52" s="1022"/>
      <c r="AB52" s="989"/>
      <c r="AC52" s="1032"/>
      <c r="AD52" s="1022"/>
      <c r="AE52" s="1022"/>
      <c r="AF52" s="989"/>
      <c r="AG52" s="1032"/>
      <c r="AH52" s="1022"/>
      <c r="AI52" s="1022"/>
      <c r="AJ52" s="989"/>
      <c r="AK52" s="1032"/>
      <c r="AL52" s="1022"/>
      <c r="AM52" s="1022"/>
      <c r="AN52" s="989"/>
      <c r="AO52" s="1032"/>
      <c r="AP52" s="1066"/>
      <c r="AQ52" s="1066"/>
      <c r="AR52" s="1066"/>
      <c r="AS52" s="1066"/>
      <c r="AT52" s="1067"/>
      <c r="AU52" s="1068"/>
      <c r="AV52" s="1068"/>
      <c r="AW52" s="1069"/>
      <c r="AX52" s="1019"/>
      <c r="AY52" s="989"/>
      <c r="AZ52" s="989"/>
      <c r="BA52" s="1066"/>
      <c r="BB52" s="1070"/>
      <c r="BC52" s="1021"/>
      <c r="BD52" s="1067"/>
      <c r="BE52" s="1067"/>
      <c r="BF52" s="1067"/>
      <c r="BG52" s="1067"/>
      <c r="BH52" s="1067"/>
      <c r="BI52" s="1067"/>
      <c r="BJ52" s="1067"/>
      <c r="BK52" s="1067"/>
      <c r="BL52" s="1067"/>
      <c r="BM52" s="1067"/>
      <c r="BN52" s="1067"/>
      <c r="BO52" s="1067"/>
      <c r="BP52" s="1067"/>
      <c r="BQ52" s="972"/>
    </row>
    <row r="53" spans="1:73" ht="12" customHeight="1" x14ac:dyDescent="0.2">
      <c r="A53" s="971"/>
      <c r="B53" s="969" t="s">
        <v>229</v>
      </c>
      <c r="C53" s="2400">
        <v>0</v>
      </c>
      <c r="D53" s="2401">
        <v>0</v>
      </c>
      <c r="E53" s="927"/>
      <c r="F53" s="943"/>
      <c r="G53" s="2373"/>
      <c r="H53" s="2373"/>
      <c r="I53" s="2422">
        <v>8540</v>
      </c>
      <c r="J53" s="2383">
        <v>8540</v>
      </c>
      <c r="K53" s="1071">
        <v>8540</v>
      </c>
      <c r="L53" s="1071">
        <v>8540</v>
      </c>
      <c r="M53" s="1072">
        <v>8540</v>
      </c>
      <c r="N53" s="1073">
        <v>8540</v>
      </c>
      <c r="O53" s="1071">
        <v>8540</v>
      </c>
      <c r="P53" s="1071">
        <v>8540</v>
      </c>
      <c r="Q53" s="1072">
        <v>8540</v>
      </c>
      <c r="R53" s="1073">
        <v>8540</v>
      </c>
      <c r="S53" s="1071">
        <v>8540</v>
      </c>
      <c r="T53" s="1071">
        <v>8540</v>
      </c>
      <c r="U53" s="1072">
        <v>8540</v>
      </c>
      <c r="V53" s="1073">
        <v>8540</v>
      </c>
      <c r="W53" s="1071">
        <v>8540</v>
      </c>
      <c r="X53" s="1071">
        <v>8540</v>
      </c>
      <c r="Y53" s="1072">
        <v>8540</v>
      </c>
      <c r="Z53" s="1073">
        <v>4540</v>
      </c>
      <c r="AA53" s="1071">
        <v>4540</v>
      </c>
      <c r="AB53" s="1071">
        <v>4540</v>
      </c>
      <c r="AC53" s="1072">
        <v>4000</v>
      </c>
      <c r="AD53" s="1074" t="s">
        <v>177</v>
      </c>
      <c r="AE53" s="1075" t="s">
        <v>177</v>
      </c>
      <c r="AF53" s="1076" t="s">
        <v>177</v>
      </c>
      <c r="AG53" s="1077" t="s">
        <v>177</v>
      </c>
      <c r="AH53" s="1075" t="s">
        <v>177</v>
      </c>
      <c r="AI53" s="1075" t="s">
        <v>177</v>
      </c>
      <c r="AJ53" s="1076" t="s">
        <v>177</v>
      </c>
      <c r="AK53" s="1077" t="s">
        <v>177</v>
      </c>
      <c r="AL53" s="1075" t="s">
        <v>177</v>
      </c>
      <c r="AM53" s="1075" t="s">
        <v>177</v>
      </c>
      <c r="AN53" s="1076" t="s">
        <v>177</v>
      </c>
      <c r="AO53" s="1077" t="s">
        <v>177</v>
      </c>
      <c r="AP53" s="1078" t="s">
        <v>177</v>
      </c>
      <c r="AQ53" s="1078" t="s">
        <v>177</v>
      </c>
      <c r="AR53" s="1078" t="s">
        <v>177</v>
      </c>
      <c r="AS53" s="1078" t="s">
        <v>177</v>
      </c>
      <c r="AT53" s="1079" t="s">
        <v>177</v>
      </c>
      <c r="AU53" s="1080" t="s">
        <v>177</v>
      </c>
      <c r="AV53" s="1080" t="s">
        <v>177</v>
      </c>
      <c r="AW53" s="1081" t="s">
        <v>177</v>
      </c>
      <c r="AX53" s="1082"/>
      <c r="AY53" s="1071">
        <v>8540</v>
      </c>
      <c r="AZ53" s="1071">
        <v>8540</v>
      </c>
      <c r="BA53" s="992">
        <v>0</v>
      </c>
      <c r="BB53" s="976">
        <v>0</v>
      </c>
      <c r="BC53" s="1075"/>
      <c r="BD53" s="1083">
        <v>8540</v>
      </c>
      <c r="BE53" s="1083">
        <v>8540</v>
      </c>
      <c r="BF53" s="1083">
        <v>8540</v>
      </c>
      <c r="BG53" s="1083">
        <v>8540</v>
      </c>
      <c r="BH53" s="1083">
        <v>4540</v>
      </c>
      <c r="BI53" s="1079" t="s">
        <v>177</v>
      </c>
      <c r="BJ53" s="1079" t="s">
        <v>177</v>
      </c>
      <c r="BK53" s="1079" t="s">
        <v>177</v>
      </c>
      <c r="BL53" s="1079" t="s">
        <v>177</v>
      </c>
      <c r="BM53" s="1079" t="s">
        <v>177</v>
      </c>
      <c r="BN53" s="1067"/>
      <c r="BO53" s="1067"/>
      <c r="BP53" s="1067"/>
      <c r="BQ53" s="972"/>
    </row>
    <row r="54" spans="1:73" ht="9.75" customHeight="1" x14ac:dyDescent="0.2">
      <c r="A54" s="971"/>
      <c r="B54" s="969"/>
      <c r="C54" s="2400"/>
      <c r="D54" s="2402"/>
      <c r="E54" s="927"/>
      <c r="F54" s="929"/>
      <c r="G54" s="929"/>
      <c r="H54" s="930"/>
      <c r="I54" s="2418"/>
      <c r="J54" s="1164"/>
      <c r="K54" s="1022"/>
      <c r="L54" s="989"/>
      <c r="M54" s="1032"/>
      <c r="N54" s="1022"/>
      <c r="O54" s="1022"/>
      <c r="P54" s="989"/>
      <c r="Q54" s="1032"/>
      <c r="R54" s="1022"/>
      <c r="S54" s="1022"/>
      <c r="T54" s="989"/>
      <c r="U54" s="1032"/>
      <c r="V54" s="1022"/>
      <c r="W54" s="1022"/>
      <c r="X54" s="989"/>
      <c r="Y54" s="1032"/>
      <c r="Z54" s="1022"/>
      <c r="AA54" s="1022"/>
      <c r="AB54" s="989"/>
      <c r="AC54" s="1032"/>
      <c r="AD54" s="1022"/>
      <c r="AE54" s="1022"/>
      <c r="AF54" s="989"/>
      <c r="AG54" s="1032"/>
      <c r="AH54" s="1022"/>
      <c r="AI54" s="1022"/>
      <c r="AJ54" s="989"/>
      <c r="AK54" s="1032"/>
      <c r="AL54" s="1022"/>
      <c r="AM54" s="1022"/>
      <c r="AN54" s="989"/>
      <c r="AO54" s="1032"/>
      <c r="AP54" s="1066"/>
      <c r="AQ54" s="1066"/>
      <c r="AR54" s="1066"/>
      <c r="AS54" s="1066"/>
      <c r="AT54" s="1067"/>
      <c r="AU54" s="1068"/>
      <c r="AV54" s="1068"/>
      <c r="AW54" s="1069"/>
      <c r="AX54" s="1019"/>
      <c r="AY54" s="989"/>
      <c r="AZ54" s="989"/>
      <c r="BA54" s="1066"/>
      <c r="BB54" s="1070"/>
      <c r="BC54" s="1021"/>
      <c r="BD54" s="1067"/>
      <c r="BE54" s="1067"/>
      <c r="BF54" s="1067"/>
      <c r="BG54" s="1067"/>
      <c r="BH54" s="1067"/>
      <c r="BI54" s="1067"/>
      <c r="BJ54" s="1067"/>
      <c r="BK54" s="1067"/>
      <c r="BL54" s="1067"/>
      <c r="BM54" s="1067"/>
      <c r="BN54" s="1067"/>
      <c r="BO54" s="1067"/>
      <c r="BP54" s="1067"/>
      <c r="BQ54" s="972"/>
    </row>
    <row r="55" spans="1:73" ht="12.75" customHeight="1" x14ac:dyDescent="0.2">
      <c r="A55" s="970" t="s">
        <v>23</v>
      </c>
      <c r="B55" s="969"/>
      <c r="C55" s="2400"/>
      <c r="D55" s="2402"/>
      <c r="E55" s="927"/>
      <c r="F55" s="2231"/>
      <c r="G55" s="926"/>
      <c r="H55" s="918"/>
      <c r="I55" s="2418"/>
      <c r="J55" s="2384"/>
      <c r="K55" s="975"/>
      <c r="L55" s="969"/>
      <c r="M55" s="1084"/>
      <c r="N55" s="1022"/>
      <c r="O55" s="1022"/>
      <c r="P55" s="969"/>
      <c r="Q55" s="1084"/>
      <c r="R55" s="1022"/>
      <c r="S55" s="1022"/>
      <c r="T55" s="969"/>
      <c r="U55" s="1084"/>
      <c r="V55" s="975"/>
      <c r="W55" s="975"/>
      <c r="X55" s="969"/>
      <c r="Y55" s="1084"/>
      <c r="Z55" s="975"/>
      <c r="AA55" s="975"/>
      <c r="AB55" s="969"/>
      <c r="AC55" s="1084"/>
      <c r="AD55" s="975"/>
      <c r="AE55" s="975"/>
      <c r="AF55" s="969"/>
      <c r="AG55" s="1084"/>
      <c r="AH55" s="975"/>
      <c r="AI55" s="975"/>
      <c r="AJ55" s="969"/>
      <c r="AK55" s="1084"/>
      <c r="AL55" s="975"/>
      <c r="AM55" s="975"/>
      <c r="AN55" s="969"/>
      <c r="AO55" s="1084"/>
      <c r="AP55" s="1085"/>
      <c r="AQ55" s="1086"/>
      <c r="AR55" s="1086"/>
      <c r="AS55" s="1086"/>
      <c r="AT55" s="1087"/>
      <c r="AU55" s="1088"/>
      <c r="AV55" s="1088"/>
      <c r="AW55" s="1089"/>
      <c r="AX55" s="1055"/>
      <c r="AY55" s="969"/>
      <c r="AZ55" s="989"/>
      <c r="BA55" s="1066"/>
      <c r="BB55" s="1070"/>
      <c r="BC55" s="1021"/>
      <c r="BD55" s="1067"/>
      <c r="BE55" s="1067"/>
      <c r="BF55" s="1067"/>
      <c r="BG55" s="1067"/>
      <c r="BH55" s="1067"/>
      <c r="BI55" s="1067"/>
      <c r="BJ55" s="1067"/>
      <c r="BK55" s="1067"/>
      <c r="BL55" s="1067"/>
      <c r="BM55" s="1067"/>
      <c r="BN55" s="1067" t="s">
        <v>44</v>
      </c>
      <c r="BO55" s="1067"/>
      <c r="BP55" s="1067"/>
      <c r="BQ55" s="972"/>
    </row>
    <row r="56" spans="1:73" ht="13.5" customHeight="1" x14ac:dyDescent="0.2">
      <c r="A56" s="980"/>
      <c r="B56" s="969" t="s">
        <v>230</v>
      </c>
      <c r="C56" s="2405">
        <v>-0.05</v>
      </c>
      <c r="D56" s="2401">
        <v>-1</v>
      </c>
      <c r="E56" s="927"/>
      <c r="F56" s="2230"/>
      <c r="G56" s="2374"/>
      <c r="H56" s="2308"/>
      <c r="I56" s="2429">
        <v>0</v>
      </c>
      <c r="J56" s="2395">
        <v>0</v>
      </c>
      <c r="K56" s="2396">
        <v>0</v>
      </c>
      <c r="L56" s="1090">
        <v>0.05</v>
      </c>
      <c r="M56" s="1091">
        <v>0.05</v>
      </c>
      <c r="N56" s="1092">
        <v>0.05</v>
      </c>
      <c r="O56" s="1093">
        <v>0.05</v>
      </c>
      <c r="P56" s="1090">
        <v>0.1</v>
      </c>
      <c r="Q56" s="1091">
        <v>0.05</v>
      </c>
      <c r="R56" s="1092">
        <v>0.05</v>
      </c>
      <c r="S56" s="1093">
        <v>0.05</v>
      </c>
      <c r="T56" s="1090">
        <v>0.05</v>
      </c>
      <c r="U56" s="1091">
        <v>0.05</v>
      </c>
      <c r="V56" s="1092">
        <v>0.05</v>
      </c>
      <c r="W56" s="1094">
        <v>0.05</v>
      </c>
      <c r="X56" s="1090">
        <v>0.05</v>
      </c>
      <c r="Y56" s="1091">
        <v>0.05</v>
      </c>
      <c r="Z56" s="1092">
        <v>0.1</v>
      </c>
      <c r="AA56" s="1094">
        <v>0.1</v>
      </c>
      <c r="AB56" s="1090">
        <v>0.1</v>
      </c>
      <c r="AC56" s="1091">
        <v>0.1</v>
      </c>
      <c r="AD56" s="1092">
        <v>0.1</v>
      </c>
      <c r="AE56" s="1095">
        <v>7.4999999999999997E-2</v>
      </c>
      <c r="AF56" s="1090">
        <v>0.05</v>
      </c>
      <c r="AG56" s="1091">
        <v>0.05</v>
      </c>
      <c r="AH56" s="1092">
        <v>0.05</v>
      </c>
      <c r="AI56" s="1092">
        <v>0.05</v>
      </c>
      <c r="AJ56" s="1092">
        <v>0.05</v>
      </c>
      <c r="AK56" s="1056">
        <v>0</v>
      </c>
      <c r="AL56" s="1092">
        <v>0</v>
      </c>
      <c r="AM56" s="1092">
        <v>0</v>
      </c>
      <c r="AN56" s="1092">
        <v>0</v>
      </c>
      <c r="AO56" s="1096">
        <v>0.125</v>
      </c>
      <c r="AP56" s="1097">
        <v>0.125</v>
      </c>
      <c r="AQ56" s="1097">
        <v>0.125</v>
      </c>
      <c r="AR56" s="1098">
        <v>0.125</v>
      </c>
      <c r="AS56" s="1098">
        <v>0.125</v>
      </c>
      <c r="AT56" s="1099">
        <v>0.1</v>
      </c>
      <c r="AU56" s="1100">
        <v>0.1</v>
      </c>
      <c r="AV56" s="1100">
        <v>0.08</v>
      </c>
      <c r="AW56" s="1101">
        <v>0.08</v>
      </c>
      <c r="AX56" s="1055"/>
      <c r="AY56" s="1102">
        <v>0.1</v>
      </c>
      <c r="AZ56" s="1036">
        <v>0.25</v>
      </c>
      <c r="BA56" s="1040">
        <v>-0.15</v>
      </c>
      <c r="BB56" s="976">
        <v>-0.6</v>
      </c>
      <c r="BC56" s="1021"/>
      <c r="BD56" s="1103">
        <v>0.1</v>
      </c>
      <c r="BE56" s="1103">
        <v>0.25</v>
      </c>
      <c r="BF56" s="1103">
        <v>0.2</v>
      </c>
      <c r="BG56" s="1103">
        <v>0.2</v>
      </c>
      <c r="BH56" s="1103">
        <v>0.4</v>
      </c>
      <c r="BI56" s="1104">
        <v>0.27500000000000002</v>
      </c>
      <c r="BJ56" s="1105">
        <v>0.15</v>
      </c>
      <c r="BK56" s="1106">
        <v>0.125</v>
      </c>
      <c r="BL56" s="1038">
        <v>0.5</v>
      </c>
      <c r="BM56" s="1038">
        <v>0.36</v>
      </c>
      <c r="BN56" s="1038">
        <v>0.28000000000000003</v>
      </c>
      <c r="BO56" s="1038">
        <v>0.26</v>
      </c>
      <c r="BP56" s="1038">
        <v>0</v>
      </c>
      <c r="BQ56" s="972"/>
    </row>
    <row r="57" spans="1:73" ht="13.5" hidden="1" customHeight="1" x14ac:dyDescent="0.2">
      <c r="A57" s="980"/>
      <c r="B57" s="969" t="s">
        <v>25</v>
      </c>
      <c r="C57" s="2405">
        <v>0</v>
      </c>
      <c r="D57" s="2402" t="s">
        <v>313</v>
      </c>
      <c r="E57" s="927"/>
      <c r="F57" s="2230"/>
      <c r="G57" s="2230"/>
      <c r="H57" s="2293"/>
      <c r="I57" s="2421"/>
      <c r="J57" s="2397"/>
      <c r="K57" s="2397"/>
      <c r="L57" s="1092"/>
      <c r="M57" s="1056"/>
      <c r="N57" s="1092"/>
      <c r="O57" s="1107"/>
      <c r="P57" s="1092"/>
      <c r="Q57" s="1056"/>
      <c r="R57" s="1092"/>
      <c r="S57" s="1107"/>
      <c r="T57" s="1092"/>
      <c r="U57" s="1056"/>
      <c r="V57" s="1092"/>
      <c r="W57" s="1108"/>
      <c r="X57" s="1092"/>
      <c r="Y57" s="1056"/>
      <c r="Z57" s="1092"/>
      <c r="AA57" s="1108"/>
      <c r="AB57" s="1092"/>
      <c r="AC57" s="1056"/>
      <c r="AD57" s="1092"/>
      <c r="AE57" s="1108"/>
      <c r="AF57" s="1092"/>
      <c r="AG57" s="1056"/>
      <c r="AH57" s="1092">
        <v>0</v>
      </c>
      <c r="AI57" s="1092">
        <v>0</v>
      </c>
      <c r="AJ57" s="1092">
        <v>0</v>
      </c>
      <c r="AK57" s="1056">
        <v>0</v>
      </c>
      <c r="AL57" s="1092">
        <v>0</v>
      </c>
      <c r="AM57" s="1092">
        <v>0</v>
      </c>
      <c r="AN57" s="1092">
        <v>0</v>
      </c>
      <c r="AO57" s="1109">
        <v>0</v>
      </c>
      <c r="AP57" s="1092">
        <v>0</v>
      </c>
      <c r="AQ57" s="1041">
        <v>0</v>
      </c>
      <c r="AR57" s="1041">
        <v>0</v>
      </c>
      <c r="AS57" s="1092">
        <v>0</v>
      </c>
      <c r="AT57" s="1099">
        <v>0</v>
      </c>
      <c r="AU57" s="1100">
        <v>0</v>
      </c>
      <c r="AV57" s="1100">
        <v>0</v>
      </c>
      <c r="AW57" s="1100">
        <v>0</v>
      </c>
      <c r="AX57" s="1055"/>
      <c r="AY57" s="969"/>
      <c r="AZ57" s="989"/>
      <c r="BA57" s="1034">
        <v>0</v>
      </c>
      <c r="BB57" s="1039">
        <v>0</v>
      </c>
      <c r="BC57" s="1021"/>
      <c r="BD57" s="1099"/>
      <c r="BE57" s="1099"/>
      <c r="BF57" s="1099"/>
      <c r="BG57" s="1099"/>
      <c r="BH57" s="1099"/>
      <c r="BI57" s="1099">
        <v>0</v>
      </c>
      <c r="BJ57" s="1038">
        <v>0</v>
      </c>
      <c r="BK57" s="1038">
        <v>0</v>
      </c>
      <c r="BL57" s="1038">
        <v>0</v>
      </c>
      <c r="BM57" s="1038">
        <v>0</v>
      </c>
      <c r="BN57" s="1038">
        <v>0</v>
      </c>
      <c r="BO57" s="1038">
        <v>0.15</v>
      </c>
      <c r="BP57" s="1038">
        <v>0</v>
      </c>
      <c r="BQ57" s="972"/>
    </row>
    <row r="58" spans="1:73" ht="13.5" customHeight="1" x14ac:dyDescent="0.2">
      <c r="A58" s="980"/>
      <c r="B58" s="981" t="s">
        <v>231</v>
      </c>
      <c r="C58" s="2406">
        <v>-2.5706940874035991</v>
      </c>
      <c r="D58" s="2402"/>
      <c r="E58" s="927"/>
      <c r="F58" s="2231"/>
      <c r="G58" s="2312"/>
      <c r="H58" s="939"/>
      <c r="I58" s="2429">
        <v>0</v>
      </c>
      <c r="J58" s="2398">
        <v>0</v>
      </c>
      <c r="K58" s="1074">
        <v>0</v>
      </c>
      <c r="L58" s="1057">
        <v>3.8240917782026769E-2</v>
      </c>
      <c r="M58" s="1056">
        <v>2.570694087403599E-2</v>
      </c>
      <c r="N58" s="1110">
        <v>3.0674846625766874E-2</v>
      </c>
      <c r="O58" s="1111">
        <v>2.5608194622279132E-2</v>
      </c>
      <c r="P58" s="1057">
        <v>3.5746201966041113E-2</v>
      </c>
      <c r="Q58" s="1056">
        <v>1.627339300244101E-2</v>
      </c>
      <c r="R58" s="1110">
        <v>2.4390243902439029E-2</v>
      </c>
      <c r="S58" s="1111">
        <v>2.8776978417266189E-2</v>
      </c>
      <c r="T58" s="1057">
        <v>3.0165912518853699E-2</v>
      </c>
      <c r="U58" s="1056">
        <v>3.5026269702276708E-2</v>
      </c>
      <c r="V58" s="1110">
        <v>2.932551319648094E-2</v>
      </c>
      <c r="W58" s="1112">
        <v>2.9850746268656716E-2</v>
      </c>
      <c r="X58" s="1057">
        <v>3.5211267605633804E-2</v>
      </c>
      <c r="Y58" s="1056">
        <v>3.6363636363636369E-2</v>
      </c>
      <c r="Z58" s="1110">
        <v>4.8192771084337345E-2</v>
      </c>
      <c r="AA58" s="1112">
        <v>5.1282051282051287E-2</v>
      </c>
      <c r="AB58" s="1057">
        <v>4.2000000000000003E-2</v>
      </c>
      <c r="AC58" s="1056">
        <v>3.236245954692557E-2</v>
      </c>
      <c r="AD58" s="1110">
        <v>2.8571428571428574E-2</v>
      </c>
      <c r="AE58" s="1112">
        <v>2.1186440677966101E-2</v>
      </c>
      <c r="AF58" s="1057">
        <v>1.9286403085824497E-2</v>
      </c>
      <c r="AG58" s="1056">
        <v>2.1299254526091587E-2</v>
      </c>
      <c r="AH58" s="975">
        <v>1.7999999999999999E-2</v>
      </c>
      <c r="AI58" s="975">
        <v>1.9E-2</v>
      </c>
      <c r="AJ58" s="1057">
        <v>0.02</v>
      </c>
      <c r="AK58" s="1056">
        <v>0</v>
      </c>
      <c r="AL58" s="1092">
        <v>0</v>
      </c>
      <c r="AM58" s="1092">
        <v>0</v>
      </c>
      <c r="AN58" s="1092">
        <v>0</v>
      </c>
      <c r="AO58" s="1056">
        <v>6.2899999999999998E-2</v>
      </c>
      <c r="AP58" s="975">
        <v>5.0999999999999997E-2</v>
      </c>
      <c r="AQ58" s="1057">
        <v>3.3000000000000002E-2</v>
      </c>
      <c r="AR58" s="1057">
        <v>2.63E-2</v>
      </c>
      <c r="AS58" s="1113">
        <v>2.4E-2</v>
      </c>
      <c r="AT58" s="1114">
        <v>1.7999999999999999E-2</v>
      </c>
      <c r="AU58" s="1115">
        <v>2.1999999999999999E-2</v>
      </c>
      <c r="AV58" s="1115">
        <v>1.9E-2</v>
      </c>
      <c r="AW58" s="1089">
        <v>1.7999999999999999E-2</v>
      </c>
      <c r="AX58" s="1055"/>
      <c r="AY58" s="1113">
        <v>2.4937655860349128E-2</v>
      </c>
      <c r="AZ58" s="2222">
        <v>3.834355828220859E-2</v>
      </c>
      <c r="BA58" s="1117">
        <v>-1.3405902421859461</v>
      </c>
      <c r="BB58" s="1070"/>
      <c r="BC58" s="1021"/>
      <c r="BD58" s="1118">
        <v>2.4937655860349128E-2</v>
      </c>
      <c r="BE58" s="1118">
        <v>3.834355828220859E-2</v>
      </c>
      <c r="BF58" s="1118">
        <v>2.4390243902439029E-2</v>
      </c>
      <c r="BG58" s="1118">
        <v>2.932551319648094E-2</v>
      </c>
      <c r="BH58" s="1118">
        <v>4.8192771084337345E-2</v>
      </c>
      <c r="BI58" s="1118">
        <v>1.9642857142857146E-2</v>
      </c>
      <c r="BJ58" s="1119">
        <v>3.0000000000000001E-3</v>
      </c>
      <c r="BK58" s="1119">
        <v>2.3E-2</v>
      </c>
      <c r="BL58" s="1119">
        <v>5.0999999999999997E-2</v>
      </c>
      <c r="BM58" s="1119">
        <v>1.6E-2</v>
      </c>
      <c r="BN58" s="1119">
        <v>1.2999999999999999E-2</v>
      </c>
      <c r="BO58" s="1065">
        <v>2.4799999999999999E-2</v>
      </c>
      <c r="BP58" s="1038">
        <v>0</v>
      </c>
      <c r="BQ58" s="972"/>
    </row>
    <row r="59" spans="1:73" ht="13.5" customHeight="1" x14ac:dyDescent="0.2">
      <c r="A59" s="980"/>
      <c r="B59" s="981" t="s">
        <v>232</v>
      </c>
      <c r="C59" s="2406">
        <v>-69.625134843581449</v>
      </c>
      <c r="D59" s="2401"/>
      <c r="E59" s="927"/>
      <c r="F59" s="2231"/>
      <c r="G59" s="2312"/>
      <c r="H59" s="939"/>
      <c r="I59" s="2429">
        <v>0</v>
      </c>
      <c r="J59" s="2398">
        <v>0</v>
      </c>
      <c r="K59" s="1074">
        <v>0</v>
      </c>
      <c r="L59" s="1057">
        <v>-1.6593424911376087</v>
      </c>
      <c r="M59" s="1056">
        <v>0.69625134843581449</v>
      </c>
      <c r="N59" s="1057">
        <v>-0.17105845725526808</v>
      </c>
      <c r="O59" s="1021">
        <v>-0.20929178718159411</v>
      </c>
      <c r="P59" s="1057">
        <v>0.72006625317169437</v>
      </c>
      <c r="Q59" s="1056">
        <v>0.33807245905986877</v>
      </c>
      <c r="R59" s="1057">
        <v>0.22277916922806712</v>
      </c>
      <c r="S59" s="1111">
        <v>0.35353798958333338</v>
      </c>
      <c r="T59" s="1057">
        <v>-1.5514488801452786</v>
      </c>
      <c r="U59" s="1056">
        <v>0.89578095485210174</v>
      </c>
      <c r="V59" s="1057">
        <v>1.3047954856708093</v>
      </c>
      <c r="W59" s="1112">
        <v>0.6502969868053794</v>
      </c>
      <c r="X59" s="1057">
        <v>-0.29151892938496587</v>
      </c>
      <c r="Y59" s="1056">
        <v>-0.22371207025083323</v>
      </c>
      <c r="Z59" s="1057">
        <v>-0.31427116543560901</v>
      </c>
      <c r="AA59" s="1112">
        <v>6.90500463576159</v>
      </c>
      <c r="AB59" s="1057">
        <v>-1.177</v>
      </c>
      <c r="AC59" s="1056">
        <v>0.6340895917588707</v>
      </c>
      <c r="AD59" s="1110">
        <v>0.20039687341190135</v>
      </c>
      <c r="AE59" s="1112">
        <v>0.14412517152359466</v>
      </c>
      <c r="AF59" s="1057">
        <v>0.40265827724124476</v>
      </c>
      <c r="AG59" s="1056">
        <v>0.79570697989172468</v>
      </c>
      <c r="AH59" s="975">
        <v>0.38400000000000001</v>
      </c>
      <c r="AI59" s="975">
        <v>0.189</v>
      </c>
      <c r="AJ59" s="1057">
        <v>0.42399999999999999</v>
      </c>
      <c r="AK59" s="1056">
        <v>0</v>
      </c>
      <c r="AL59" s="1092">
        <v>0</v>
      </c>
      <c r="AM59" s="1092">
        <v>0</v>
      </c>
      <c r="AN59" s="1092">
        <v>0</v>
      </c>
      <c r="AO59" s="1056">
        <v>0.436</v>
      </c>
      <c r="AP59" s="975">
        <v>-0.17599999999999999</v>
      </c>
      <c r="AQ59" s="1057">
        <v>0.40799999999999997</v>
      </c>
      <c r="AR59" s="1057">
        <v>0.49199999999999999</v>
      </c>
      <c r="AS59" s="1057">
        <v>0.157</v>
      </c>
      <c r="AT59" s="1114">
        <v>0.185</v>
      </c>
      <c r="AU59" s="1115">
        <v>0.20300000000000001</v>
      </c>
      <c r="AV59" s="1115">
        <v>0.216</v>
      </c>
      <c r="AW59" s="1115">
        <v>0.14799999999999999</v>
      </c>
      <c r="AX59" s="1055"/>
      <c r="AY59" s="2222">
        <v>-2.7836355452501328E-2</v>
      </c>
      <c r="AZ59" s="2223">
        <v>-1.0191131339531543</v>
      </c>
      <c r="BA59" s="1117">
        <v>99.127677850065297</v>
      </c>
      <c r="BB59" s="1070"/>
      <c r="BC59" s="1021"/>
      <c r="BD59" s="1114">
        <v>-2.7836355452501328E-2</v>
      </c>
      <c r="BE59" s="1114">
        <v>-1.0191131339531543</v>
      </c>
      <c r="BF59" s="1114">
        <v>0.51622951880154355</v>
      </c>
      <c r="BG59" s="1114">
        <v>-0.71800174848453002</v>
      </c>
      <c r="BH59" s="1114">
        <v>-1.3992529018390258</v>
      </c>
      <c r="BI59" s="1114">
        <v>0.22779539917588201</v>
      </c>
      <c r="BJ59" s="1065">
        <v>0.224</v>
      </c>
      <c r="BK59" s="1065">
        <v>-0.151</v>
      </c>
      <c r="BL59" s="1065">
        <v>0.78300000000000003</v>
      </c>
      <c r="BM59" s="1065">
        <v>0.185</v>
      </c>
      <c r="BN59" s="1065">
        <v>0.16200000000000001</v>
      </c>
      <c r="BO59" s="1065">
        <v>0.247</v>
      </c>
      <c r="BP59" s="1038">
        <v>0</v>
      </c>
      <c r="BQ59" s="972"/>
    </row>
    <row r="60" spans="1:73" ht="13.5" customHeight="1" x14ac:dyDescent="0.2">
      <c r="A60" s="982"/>
      <c r="B60" s="981" t="s">
        <v>27</v>
      </c>
      <c r="C60" s="2406">
        <v>2.6012422930403982</v>
      </c>
      <c r="D60" s="2402"/>
      <c r="E60" s="927"/>
      <c r="F60" s="2231"/>
      <c r="G60" s="939"/>
      <c r="H60" s="939"/>
      <c r="I60" s="2419">
        <v>0.22693266832917711</v>
      </c>
      <c r="J60" s="2384">
        <v>-0.21526418786692769</v>
      </c>
      <c r="K60" s="1057">
        <v>-2.2944550669216079E-2</v>
      </c>
      <c r="L60" s="1057">
        <v>-0.32133676092544988</v>
      </c>
      <c r="M60" s="1115">
        <v>0.20092024539877312</v>
      </c>
      <c r="N60" s="1021">
        <v>-0.15877080665813062</v>
      </c>
      <c r="O60" s="1021">
        <v>-0.29758713136729226</v>
      </c>
      <c r="P60" s="1057">
        <v>-8.1366965012205028E-2</v>
      </c>
      <c r="Q60" s="1115">
        <v>0.50487804878048781</v>
      </c>
      <c r="R60" s="1021">
        <v>0.18705035971223008</v>
      </c>
      <c r="S60" s="1021">
        <v>5.5806938159879381E-2</v>
      </c>
      <c r="T60" s="1057">
        <v>0.16987740805604204</v>
      </c>
      <c r="U60" s="1115">
        <v>-0.155425219941349</v>
      </c>
      <c r="V60" s="1057">
        <v>2.5373134328358221E-2</v>
      </c>
      <c r="W60" s="1057">
        <v>0.18838028169014095</v>
      </c>
      <c r="X60" s="1057">
        <v>4.1818181818181761E-2</v>
      </c>
      <c r="Y60" s="1115">
        <v>-0.33132530120481934</v>
      </c>
      <c r="Z60" s="1057">
        <v>7.6923076923077038E-2</v>
      </c>
      <c r="AA60" s="1057">
        <v>-0.17277486910994772</v>
      </c>
      <c r="AB60" s="1057">
        <v>-0.219</v>
      </c>
      <c r="AC60" s="1115">
        <v>-0.11000000000000003</v>
      </c>
      <c r="AD60" s="1057">
        <v>-4.2372881355932299E-3</v>
      </c>
      <c r="AE60" s="1110">
        <v>0.37270973963355847</v>
      </c>
      <c r="AF60" s="1057">
        <v>0.10969116080937152</v>
      </c>
      <c r="AG60" s="1115">
        <v>-0.14954954954954947</v>
      </c>
      <c r="AH60" s="975">
        <v>7.4999999999999997E-2</v>
      </c>
      <c r="AI60" s="975">
        <v>1.7000000000000001E-2</v>
      </c>
      <c r="AJ60" s="1057">
        <v>0.46800000000000003</v>
      </c>
      <c r="AK60" s="1115">
        <v>0.28699999999999998</v>
      </c>
      <c r="AL60" s="975">
        <v>0.33700000000000002</v>
      </c>
      <c r="AM60" s="975">
        <v>-0.49399999999999999</v>
      </c>
      <c r="AN60" s="1057">
        <v>4.0000000000000001E-3</v>
      </c>
      <c r="AO60" s="1115">
        <v>-0.17799999999999999</v>
      </c>
      <c r="AP60" s="975">
        <v>-0.35899999999999999</v>
      </c>
      <c r="AQ60" s="1057">
        <v>-0.19400000000000001</v>
      </c>
      <c r="AR60" s="1057">
        <v>-8.8999999999999996E-2</v>
      </c>
      <c r="AS60" s="1057">
        <v>-5.3999999999999999E-2</v>
      </c>
      <c r="AT60" s="1114">
        <v>0.19500000000000001</v>
      </c>
      <c r="AU60" s="1115">
        <v>9.1999999999999998E-2</v>
      </c>
      <c r="AV60" s="1115">
        <v>-3.1E-2</v>
      </c>
      <c r="AW60" s="1115">
        <v>-0.14399999999999999</v>
      </c>
      <c r="AX60" s="1055"/>
      <c r="AY60" s="2223">
        <v>-0.36963190184049077</v>
      </c>
      <c r="AZ60" s="2223">
        <v>-0.17439024390243901</v>
      </c>
      <c r="BA60" s="1117">
        <v>-19.524165793805174</v>
      </c>
      <c r="BB60" s="976"/>
      <c r="BC60" s="1021"/>
      <c r="BD60" s="1114">
        <v>-0.36963190184049077</v>
      </c>
      <c r="BE60" s="1114">
        <v>-0.17439024390243901</v>
      </c>
      <c r="BF60" s="1114">
        <v>0.23167155425219926</v>
      </c>
      <c r="BG60" s="1114">
        <v>-0.15421686746987956</v>
      </c>
      <c r="BH60" s="1114">
        <v>-0.3785714285714285</v>
      </c>
      <c r="BI60" s="1114">
        <v>0.28603603603603606</v>
      </c>
      <c r="BJ60" s="1065">
        <v>1.083</v>
      </c>
      <c r="BK60" s="1065">
        <v>-0.442</v>
      </c>
      <c r="BL60" s="1065">
        <v>-0.55500000000000005</v>
      </c>
      <c r="BM60" s="1065">
        <v>8.3000000000000004E-2</v>
      </c>
      <c r="BN60" s="1065">
        <v>1.034</v>
      </c>
      <c r="BO60" s="1065">
        <v>5.5E-2</v>
      </c>
      <c r="BP60" s="1038">
        <v>0</v>
      </c>
      <c r="BQ60" s="972"/>
    </row>
    <row r="61" spans="1:73" ht="13.5" customHeight="1" x14ac:dyDescent="0.2">
      <c r="A61" s="981"/>
      <c r="B61" s="981" t="s">
        <v>204</v>
      </c>
      <c r="C61" s="2406">
        <v>-0.49328471421029929</v>
      </c>
      <c r="D61" s="2402"/>
      <c r="E61" s="927"/>
      <c r="F61" s="2231"/>
      <c r="G61" s="939"/>
      <c r="H61" s="939"/>
      <c r="I61" s="2431">
        <v>2.7500937849296123E-2</v>
      </c>
      <c r="J61" s="2232">
        <v>-0.18339316158988495</v>
      </c>
      <c r="K61" s="1057">
        <v>-1.8397473706777643</v>
      </c>
      <c r="L61" s="1057">
        <v>-1.3343813170144901E-2</v>
      </c>
      <c r="M61" s="1115">
        <v>3.2433784991399116E-2</v>
      </c>
      <c r="N61" s="1057">
        <v>-0.13400000000000001</v>
      </c>
      <c r="O61" s="1021">
        <v>-0.10505009771417391</v>
      </c>
      <c r="P61" s="1057">
        <v>6.0727888466192509E-2</v>
      </c>
      <c r="Q61" s="1115">
        <v>6.4335658811306318E-2</v>
      </c>
      <c r="R61" s="1057">
        <v>9.8424464509394446E-2</v>
      </c>
      <c r="S61" s="1021">
        <v>6.3806973126119951E-2</v>
      </c>
      <c r="T61" s="1057">
        <v>-1.5067347530127451E-2</v>
      </c>
      <c r="U61" s="1115">
        <v>2.717544206996925E-2</v>
      </c>
      <c r="V61" s="1057">
        <v>1.8934813074644365E-2</v>
      </c>
      <c r="W61" s="1057">
        <v>3.7366523129141765E-2</v>
      </c>
      <c r="X61" s="1057">
        <v>-8.3199999999999996E-2</v>
      </c>
      <c r="Y61" s="1115">
        <v>-0.10592001246697701</v>
      </c>
      <c r="Z61" s="1057">
        <v>-0.16172899302816779</v>
      </c>
      <c r="AA61" s="1057">
        <v>6.4151554803690298E-3</v>
      </c>
      <c r="AB61" s="1057">
        <v>-2.7853674741278488E-2</v>
      </c>
      <c r="AC61" s="1115">
        <v>7.0202502883376317E-2</v>
      </c>
      <c r="AD61" s="1057">
        <v>0.22622257858938297</v>
      </c>
      <c r="AE61" s="1057">
        <v>0.24278270139112515</v>
      </c>
      <c r="AF61" s="1057">
        <v>6.018341972092222E-2</v>
      </c>
      <c r="AG61" s="1115">
        <v>3.8676316398525201E-2</v>
      </c>
      <c r="AH61" s="1057">
        <v>7.5999999999999998E-2</v>
      </c>
      <c r="AI61" s="1057">
        <v>0.152</v>
      </c>
      <c r="AJ61" s="1057">
        <v>6.9000000000000006E-2</v>
      </c>
      <c r="AK61" s="1115">
        <v>9.6699999999999994E-2</v>
      </c>
      <c r="AL61" s="1057">
        <v>0.04</v>
      </c>
      <c r="AM61" s="1057">
        <v>-0.64300000000000002</v>
      </c>
      <c r="AN61" s="1057">
        <v>-0.05</v>
      </c>
      <c r="AO61" s="1115">
        <v>0.15659999999999999</v>
      </c>
      <c r="AP61" s="1057">
        <v>-0.378</v>
      </c>
      <c r="AQ61" s="1057">
        <v>0.16200000000000001</v>
      </c>
      <c r="AR61" s="1057">
        <v>0.128</v>
      </c>
      <c r="AS61" s="1057">
        <v>0.41199999999999998</v>
      </c>
      <c r="AT61" s="1114">
        <v>0.28999999999999998</v>
      </c>
      <c r="AU61" s="1115">
        <v>0.27600000000000002</v>
      </c>
      <c r="AV61" s="1115">
        <v>0.22140000000000001</v>
      </c>
      <c r="AW61" s="1115">
        <v>0.34699999999999998</v>
      </c>
      <c r="AX61" s="1055"/>
      <c r="AY61" s="2223">
        <v>-0.5042145178709041</v>
      </c>
      <c r="AZ61" s="2223">
        <v>-2.9000000000000001E-2</v>
      </c>
      <c r="BA61" s="1117">
        <v>-47.521451787090406</v>
      </c>
      <c r="BB61" s="1070"/>
      <c r="BC61" s="1021"/>
      <c r="BD61" s="1065">
        <v>-0.5042145178709041</v>
      </c>
      <c r="BE61" s="1065">
        <v>-2.9000000000000001E-2</v>
      </c>
      <c r="BF61" s="1065">
        <v>4.3584883043839048E-2</v>
      </c>
      <c r="BG61" s="1065">
        <v>-3.3432484921503691E-2</v>
      </c>
      <c r="BH61" s="1065">
        <v>-3.0735753328978425E-2</v>
      </c>
      <c r="BI61" s="1065">
        <v>0.14196625402498889</v>
      </c>
      <c r="BJ61" s="1065">
        <v>9.8000000000000004E-2</v>
      </c>
      <c r="BK61" s="1065">
        <v>-0.124</v>
      </c>
      <c r="BL61" s="1065">
        <v>7.9000000000000001E-2</v>
      </c>
      <c r="BM61" s="1065">
        <v>0.28399999999999997</v>
      </c>
      <c r="BN61" s="1065">
        <v>0.33600000000000002</v>
      </c>
      <c r="BO61" s="1065">
        <v>0.23899999999999999</v>
      </c>
      <c r="BP61" s="1065">
        <v>0.43464999999999998</v>
      </c>
      <c r="BQ61" s="972"/>
      <c r="BT61" s="951"/>
    </row>
    <row r="62" spans="1:73" ht="13.5" customHeight="1" x14ac:dyDescent="0.2">
      <c r="A62" s="969"/>
      <c r="B62" s="969" t="s">
        <v>205</v>
      </c>
      <c r="C62" s="2407">
        <v>19.299459866850896</v>
      </c>
      <c r="D62" s="2401">
        <v>0.94264714002613637</v>
      </c>
      <c r="E62" s="927"/>
      <c r="F62" s="2375"/>
      <c r="G62" s="952"/>
      <c r="H62" s="952"/>
      <c r="I62" s="2432">
        <v>-1.1742243436754178</v>
      </c>
      <c r="J62" s="2233">
        <v>-0.9662650602409637</v>
      </c>
      <c r="K62" s="1120">
        <v>-1.2195704057279235</v>
      </c>
      <c r="L62" s="1120">
        <v>-9.5090909090909079</v>
      </c>
      <c r="M62" s="1121">
        <v>-20.473684210526315</v>
      </c>
      <c r="N62" s="1122">
        <v>-21.032258064516128</v>
      </c>
      <c r="O62" s="1120">
        <v>32.541666666666664</v>
      </c>
      <c r="P62" s="1120">
        <v>17.215384615384615</v>
      </c>
      <c r="Q62" s="1121">
        <v>25.604166666666664</v>
      </c>
      <c r="R62" s="1122">
        <v>21.025641025641022</v>
      </c>
      <c r="S62" s="1120">
        <v>33.095238095238095</v>
      </c>
      <c r="T62" s="1120">
        <v>44.2</v>
      </c>
      <c r="U62" s="1121">
        <v>-570.99999999999955</v>
      </c>
      <c r="V62" s="1120">
        <v>-22</v>
      </c>
      <c r="W62" s="1120">
        <v>-8.7012987012987022</v>
      </c>
      <c r="X62" s="1120">
        <v>-6.7619047619047628</v>
      </c>
      <c r="Y62" s="1121">
        <v>-7.4324324324324325</v>
      </c>
      <c r="Z62" s="1120">
        <v>-24.411764705882359</v>
      </c>
      <c r="AA62" s="1120">
        <v>13.684210526315788</v>
      </c>
      <c r="AB62" s="1120">
        <v>8.9252336448598157</v>
      </c>
      <c r="AC62" s="1121">
        <v>9.65625</v>
      </c>
      <c r="AD62" s="1120">
        <v>11.764705882352942</v>
      </c>
      <c r="AE62" s="1120">
        <v>16.857142857142854</v>
      </c>
      <c r="AF62" s="1120">
        <v>17.283333333333328</v>
      </c>
      <c r="AG62" s="1121">
        <v>15.649999999999999</v>
      </c>
      <c r="AH62" s="1120">
        <v>16.100000000000001</v>
      </c>
      <c r="AI62" s="1120">
        <v>16.7</v>
      </c>
      <c r="AJ62" s="1120">
        <v>-11.1</v>
      </c>
      <c r="AK62" s="1121">
        <v>-6.04</v>
      </c>
      <c r="AL62" s="1120">
        <v>5.7</v>
      </c>
      <c r="AM62" s="1120">
        <v>-10.9</v>
      </c>
      <c r="AN62" s="1123">
        <v>8.1</v>
      </c>
      <c r="AO62" s="1124">
        <v>7.3</v>
      </c>
      <c r="AP62" s="1120">
        <v>15.8</v>
      </c>
      <c r="AQ62" s="1120">
        <v>7.8</v>
      </c>
      <c r="AR62" s="1120">
        <v>8.9</v>
      </c>
      <c r="AS62" s="1120">
        <v>9.5</v>
      </c>
      <c r="AT62" s="1125">
        <v>11.4</v>
      </c>
      <c r="AU62" s="1121">
        <v>9.1999999999999993</v>
      </c>
      <c r="AV62" s="1121">
        <v>8.3000000000000007</v>
      </c>
      <c r="AW62" s="1121">
        <v>8.6999999999999993</v>
      </c>
      <c r="AX62" s="1055"/>
      <c r="AY62" s="2216">
        <v>-0.9662650602409637</v>
      </c>
      <c r="AZ62" s="1122">
        <v>-21.032258064516128</v>
      </c>
      <c r="BA62" s="1122">
        <v>20.065993004275164</v>
      </c>
      <c r="BB62" s="976">
        <v>0.95405794958977008</v>
      </c>
      <c r="BC62" s="1021"/>
      <c r="BD62" s="1126">
        <v>-0.9662650602409637</v>
      </c>
      <c r="BE62" s="1126">
        <v>-21.032258064516128</v>
      </c>
      <c r="BF62" s="1126">
        <v>21.025641025641022</v>
      </c>
      <c r="BG62" s="1126">
        <v>-22</v>
      </c>
      <c r="BH62" s="1126">
        <v>-24.411764705882359</v>
      </c>
      <c r="BI62" s="1126">
        <v>11.764705882352942</v>
      </c>
      <c r="BJ62" s="1126">
        <v>16.100000000000001</v>
      </c>
      <c r="BK62" s="1126">
        <v>5.7</v>
      </c>
      <c r="BL62" s="1126">
        <v>15.8</v>
      </c>
      <c r="BM62" s="1126">
        <v>11.4</v>
      </c>
      <c r="BN62" s="1126">
        <v>12</v>
      </c>
      <c r="BO62" s="1126">
        <v>9.5273000000000003</v>
      </c>
      <c r="BP62" s="1038">
        <v>0</v>
      </c>
      <c r="BQ62" s="972"/>
    </row>
    <row r="63" spans="1:73" ht="13.5" customHeight="1" x14ac:dyDescent="0.2">
      <c r="A63" s="969"/>
      <c r="B63" s="969" t="s">
        <v>206</v>
      </c>
      <c r="C63" s="2407">
        <v>0.1026485079574021</v>
      </c>
      <c r="D63" s="2401">
        <v>0.11003708950703515</v>
      </c>
      <c r="E63" s="927"/>
      <c r="F63" s="2375"/>
      <c r="G63" s="952"/>
      <c r="H63" s="2376"/>
      <c r="I63" s="2432">
        <v>1.0355022249837811</v>
      </c>
      <c r="J63" s="2233">
        <v>0.80357957551884285</v>
      </c>
      <c r="K63" s="1120">
        <v>0.95919000291310397</v>
      </c>
      <c r="L63" s="1122">
        <v>0.62379013685953433</v>
      </c>
      <c r="M63" s="1127">
        <v>0.93285371702637898</v>
      </c>
      <c r="N63" s="1122">
        <v>0.74856486796785293</v>
      </c>
      <c r="O63" s="1120">
        <v>0.90498261877172637</v>
      </c>
      <c r="P63" s="1122">
        <v>1.2573033707865167</v>
      </c>
      <c r="Q63" s="1127">
        <v>1.4126436781609195</v>
      </c>
      <c r="R63" s="1122">
        <v>0.90607734806629814</v>
      </c>
      <c r="S63" s="1120">
        <v>0.82443653618030843</v>
      </c>
      <c r="T63" s="1122">
        <v>0.82861461364787004</v>
      </c>
      <c r="U63" s="1127">
        <v>0.72562332814976871</v>
      </c>
      <c r="V63" s="1122">
        <v>0.88841615865383472</v>
      </c>
      <c r="W63" s="1120">
        <v>0.87930788843132579</v>
      </c>
      <c r="X63" s="1122">
        <v>0.74610172641665484</v>
      </c>
      <c r="Y63" s="1127">
        <v>0.69597136079068156</v>
      </c>
      <c r="Z63" s="1122">
        <v>1.0044684002282975</v>
      </c>
      <c r="AA63" s="1122">
        <v>0.91296145153524644</v>
      </c>
      <c r="AB63" s="1122">
        <v>1.0909097685588069</v>
      </c>
      <c r="AC63" s="1127">
        <v>1.4194867150803914</v>
      </c>
      <c r="AD63" s="1122">
        <v>1.5921963397684213</v>
      </c>
      <c r="AE63" s="1122">
        <v>1.6790931696668809</v>
      </c>
      <c r="AF63" s="1122">
        <v>1.2886118907322233</v>
      </c>
      <c r="AG63" s="1127">
        <v>1.1944967059416152</v>
      </c>
      <c r="AH63" s="1122">
        <v>1.6</v>
      </c>
      <c r="AI63" s="1122">
        <v>1.5</v>
      </c>
      <c r="AJ63" s="1122">
        <v>1.5</v>
      </c>
      <c r="AK63" s="1127">
        <v>1.04</v>
      </c>
      <c r="AL63" s="1122">
        <v>0.8</v>
      </c>
      <c r="AM63" s="1122">
        <v>0.6</v>
      </c>
      <c r="AN63" s="1122">
        <v>1.1000000000000001</v>
      </c>
      <c r="AO63" s="1127">
        <v>1.04</v>
      </c>
      <c r="AP63" s="1122">
        <v>1.4</v>
      </c>
      <c r="AQ63" s="1122">
        <v>1.9</v>
      </c>
      <c r="AR63" s="1122">
        <v>2.4</v>
      </c>
      <c r="AS63" s="1122">
        <v>2.6</v>
      </c>
      <c r="AT63" s="1126">
        <v>2.9</v>
      </c>
      <c r="AU63" s="1127">
        <v>2.5</v>
      </c>
      <c r="AV63" s="1127">
        <v>2.5</v>
      </c>
      <c r="AW63" s="1127">
        <v>2.7</v>
      </c>
      <c r="AX63" s="1019"/>
      <c r="AY63" s="2216">
        <v>0.80357957551884285</v>
      </c>
      <c r="AZ63" s="1128">
        <v>0.74856486796785293</v>
      </c>
      <c r="BA63" s="1122">
        <v>5.5014707550989916E-2</v>
      </c>
      <c r="BB63" s="976">
        <v>7.3493574044343896E-2</v>
      </c>
      <c r="BC63" s="1021"/>
      <c r="BD63" s="1126">
        <v>0.80357957551884285</v>
      </c>
      <c r="BE63" s="1126">
        <v>0.74856486796785293</v>
      </c>
      <c r="BF63" s="1126">
        <v>0.90607734806629814</v>
      </c>
      <c r="BG63" s="1126">
        <v>0.88841615865383472</v>
      </c>
      <c r="BH63" s="1126">
        <v>1.0044684002282975</v>
      </c>
      <c r="BI63" s="1126">
        <v>1.5921963397684213</v>
      </c>
      <c r="BJ63" s="1126">
        <v>1.6</v>
      </c>
      <c r="BK63" s="1126">
        <v>0.82</v>
      </c>
      <c r="BL63" s="1126">
        <v>1.4</v>
      </c>
      <c r="BM63" s="1126">
        <v>2.9</v>
      </c>
      <c r="BN63" s="1126">
        <v>3.5</v>
      </c>
      <c r="BO63" s="1126">
        <v>2.1800000000000002</v>
      </c>
      <c r="BP63" s="1038">
        <v>0</v>
      </c>
      <c r="BQ63" s="972"/>
    </row>
    <row r="64" spans="1:73" ht="9.75" customHeight="1" x14ac:dyDescent="0.2">
      <c r="A64" s="964"/>
      <c r="B64" s="964"/>
      <c r="C64" s="2408"/>
      <c r="D64" s="2409"/>
      <c r="E64" s="928"/>
      <c r="F64" s="2234"/>
      <c r="G64" s="954"/>
      <c r="H64" s="954"/>
      <c r="I64" s="2433"/>
      <c r="J64" s="2385"/>
      <c r="K64" s="1129"/>
      <c r="L64" s="1129"/>
      <c r="M64" s="984"/>
      <c r="N64" s="1129"/>
      <c r="O64" s="1129"/>
      <c r="P64" s="1129"/>
      <c r="Q64" s="984"/>
      <c r="R64" s="1129"/>
      <c r="S64" s="1129"/>
      <c r="T64" s="1129"/>
      <c r="U64" s="984"/>
      <c r="V64" s="1129"/>
      <c r="W64" s="1129"/>
      <c r="X64" s="1129"/>
      <c r="Y64" s="984"/>
      <c r="Z64" s="1129"/>
      <c r="AA64" s="1129"/>
      <c r="AB64" s="1129"/>
      <c r="AC64" s="984"/>
      <c r="AD64" s="1129"/>
      <c r="AE64" s="1129"/>
      <c r="AF64" s="1129"/>
      <c r="AG64" s="984"/>
      <c r="AH64" s="1129"/>
      <c r="AI64" s="1129"/>
      <c r="AJ64" s="1129"/>
      <c r="AK64" s="984"/>
      <c r="AL64" s="1129"/>
      <c r="AM64" s="1129"/>
      <c r="AN64" s="1129"/>
      <c r="AO64" s="984"/>
      <c r="AP64" s="1129"/>
      <c r="AQ64" s="1129"/>
      <c r="AR64" s="1129"/>
      <c r="AS64" s="984"/>
      <c r="AT64" s="1130"/>
      <c r="AU64" s="984"/>
      <c r="AV64" s="984"/>
      <c r="AW64" s="984"/>
      <c r="AX64" s="1019"/>
      <c r="AY64" s="983"/>
      <c r="AZ64" s="1129"/>
      <c r="BA64" s="1131"/>
      <c r="BB64" s="1132"/>
      <c r="BC64" s="985"/>
      <c r="BD64" s="983"/>
      <c r="BE64" s="983"/>
      <c r="BF64" s="983"/>
      <c r="BG64" s="983"/>
      <c r="BH64" s="983"/>
      <c r="BI64" s="983"/>
      <c r="BJ64" s="983"/>
      <c r="BK64" s="983"/>
      <c r="BL64" s="1130"/>
      <c r="BM64" s="1130"/>
      <c r="BN64" s="1130"/>
      <c r="BO64" s="1130"/>
      <c r="BP64" s="1130"/>
      <c r="BQ64" s="972"/>
    </row>
    <row r="65" spans="1:69" ht="9.75" customHeight="1" x14ac:dyDescent="0.2">
      <c r="A65" s="964"/>
      <c r="B65" s="964"/>
      <c r="C65" s="2410"/>
      <c r="D65" s="2410"/>
      <c r="E65" s="930"/>
      <c r="F65" s="930"/>
      <c r="G65" s="930"/>
      <c r="H65" s="930"/>
      <c r="I65" s="2418"/>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89"/>
      <c r="AK65" s="1133"/>
      <c r="AL65" s="989"/>
      <c r="AM65" s="989"/>
      <c r="AN65" s="989"/>
      <c r="AO65" s="989"/>
      <c r="AP65" s="989"/>
      <c r="AQ65" s="989"/>
      <c r="AR65" s="985"/>
      <c r="AS65" s="985"/>
      <c r="AT65" s="985"/>
      <c r="AU65" s="985"/>
      <c r="AV65" s="985"/>
      <c r="AW65" s="985"/>
      <c r="AX65" s="985"/>
      <c r="AY65" s="985"/>
      <c r="AZ65" s="985"/>
      <c r="BA65" s="985"/>
      <c r="BB65" s="985"/>
      <c r="BC65" s="985"/>
      <c r="BD65" s="985"/>
      <c r="BE65" s="985"/>
      <c r="BF65" s="985"/>
      <c r="BG65" s="985"/>
      <c r="BH65" s="985"/>
      <c r="BI65" s="985"/>
      <c r="BJ65" s="985"/>
      <c r="BK65" s="985"/>
      <c r="BL65" s="985"/>
      <c r="BM65" s="985"/>
      <c r="BN65" s="985"/>
      <c r="BO65" s="985"/>
      <c r="BP65" s="985"/>
    </row>
    <row r="66" spans="1:69" ht="18" customHeight="1" x14ac:dyDescent="0.2">
      <c r="A66" s="986" t="s">
        <v>252</v>
      </c>
      <c r="B66" s="964"/>
      <c r="C66" s="2410"/>
      <c r="D66" s="2410"/>
      <c r="E66" s="930"/>
      <c r="F66" s="930"/>
      <c r="G66" s="930"/>
      <c r="H66" s="930"/>
      <c r="I66" s="2418"/>
      <c r="J66" s="989"/>
      <c r="K66" s="989"/>
      <c r="L66" s="989"/>
      <c r="M66" s="989"/>
      <c r="N66" s="989"/>
      <c r="O66" s="989"/>
      <c r="P66" s="989"/>
      <c r="Q66" s="989"/>
      <c r="R66" s="989"/>
      <c r="S66" s="989"/>
      <c r="T66" s="989"/>
      <c r="U66" s="989"/>
      <c r="V66" s="989"/>
      <c r="W66" s="989"/>
      <c r="X66" s="989"/>
      <c r="Y66" s="989"/>
      <c r="Z66" s="989"/>
      <c r="AA66" s="989"/>
      <c r="AB66" s="989"/>
      <c r="AC66" s="989"/>
      <c r="AD66" s="989"/>
      <c r="AE66" s="989"/>
      <c r="AF66" s="989"/>
      <c r="AG66" s="989"/>
      <c r="AH66" s="989"/>
      <c r="AI66" s="989"/>
      <c r="AJ66" s="1134"/>
      <c r="AK66" s="989"/>
      <c r="AL66" s="989"/>
      <c r="AM66" s="989"/>
      <c r="AN66" s="989"/>
      <c r="AO66" s="989"/>
      <c r="AP66" s="989"/>
      <c r="AQ66" s="989"/>
      <c r="AR66" s="985"/>
      <c r="AS66" s="985"/>
      <c r="AT66" s="985"/>
      <c r="AU66" s="985"/>
      <c r="AV66" s="985"/>
      <c r="AW66" s="985"/>
      <c r="AX66" s="985"/>
      <c r="AY66" s="985"/>
      <c r="AZ66" s="985"/>
      <c r="BA66" s="985"/>
      <c r="BB66" s="985"/>
      <c r="BC66" s="985"/>
      <c r="BD66" s="985"/>
      <c r="BE66" s="985"/>
      <c r="BF66" s="985"/>
      <c r="BG66" s="985"/>
      <c r="BH66" s="985"/>
      <c r="BI66" s="985"/>
      <c r="BJ66" s="985"/>
      <c r="BK66" s="985"/>
      <c r="BL66" s="985"/>
      <c r="BM66" s="985"/>
      <c r="BN66" s="985"/>
      <c r="BO66" s="985"/>
      <c r="BP66" s="985"/>
    </row>
    <row r="67" spans="1:69" ht="9.75" customHeight="1" x14ac:dyDescent="0.2">
      <c r="A67" s="986"/>
      <c r="B67" s="964"/>
      <c r="C67" s="2410"/>
      <c r="D67" s="2410"/>
      <c r="E67" s="930"/>
      <c r="F67" s="954"/>
      <c r="G67" s="930"/>
      <c r="H67" s="954"/>
      <c r="I67" s="2418"/>
      <c r="J67" s="1129"/>
      <c r="K67" s="989"/>
      <c r="L67" s="1129"/>
      <c r="M67" s="989"/>
      <c r="N67" s="1129"/>
      <c r="O67" s="989"/>
      <c r="P67" s="1129"/>
      <c r="Q67" s="989"/>
      <c r="R67" s="1129"/>
      <c r="S67" s="989"/>
      <c r="T67" s="1129"/>
      <c r="U67" s="989"/>
      <c r="V67" s="1129"/>
      <c r="W67" s="989"/>
      <c r="X67" s="1129"/>
      <c r="Y67" s="989"/>
      <c r="Z67" s="1129"/>
      <c r="AA67" s="989"/>
      <c r="AB67" s="1129"/>
      <c r="AC67" s="989"/>
      <c r="AD67" s="1129"/>
      <c r="AE67" s="989"/>
      <c r="AF67" s="1129"/>
      <c r="AG67" s="989"/>
      <c r="AH67" s="1129"/>
      <c r="AI67" s="1129"/>
      <c r="AJ67" s="1129"/>
      <c r="AK67" s="989"/>
      <c r="AL67" s="1129"/>
      <c r="AM67" s="1129"/>
      <c r="AN67" s="989"/>
      <c r="AO67" s="989"/>
      <c r="AP67" s="989"/>
      <c r="AQ67" s="989"/>
      <c r="AR67" s="985"/>
      <c r="AS67" s="985"/>
      <c r="AT67" s="985"/>
      <c r="AU67" s="985"/>
      <c r="AV67" s="985"/>
      <c r="AW67" s="985"/>
      <c r="AX67" s="985"/>
      <c r="AY67" s="985"/>
      <c r="AZ67" s="985"/>
      <c r="BA67" s="985"/>
      <c r="BB67" s="985"/>
      <c r="BC67" s="985"/>
      <c r="BD67" s="985"/>
      <c r="BE67" s="985"/>
      <c r="BF67" s="985"/>
      <c r="BG67" s="985"/>
      <c r="BH67" s="985"/>
      <c r="BI67" s="985"/>
      <c r="BJ67" s="985"/>
      <c r="BK67" s="985"/>
      <c r="BL67" s="985"/>
      <c r="BM67" s="985"/>
      <c r="BN67" s="985"/>
      <c r="BO67" s="985"/>
      <c r="BP67" s="985"/>
    </row>
    <row r="68" spans="1:69" x14ac:dyDescent="0.2">
      <c r="A68" s="968" t="s">
        <v>1</v>
      </c>
      <c r="B68" s="964"/>
      <c r="C68" s="2459" t="s">
        <v>456</v>
      </c>
      <c r="D68" s="2460"/>
      <c r="E68" s="955"/>
      <c r="F68" s="956"/>
      <c r="G68" s="921"/>
      <c r="H68" s="2377"/>
      <c r="I68" s="2427"/>
      <c r="J68" s="1136"/>
      <c r="K68" s="1000"/>
      <c r="L68" s="1135"/>
      <c r="M68" s="988"/>
      <c r="N68" s="1136"/>
      <c r="O68" s="1000"/>
      <c r="P68" s="1135"/>
      <c r="Q68" s="988"/>
      <c r="R68" s="1136"/>
      <c r="S68" s="1000"/>
      <c r="T68" s="1135"/>
      <c r="U68" s="988"/>
      <c r="V68" s="1136"/>
      <c r="W68" s="1000"/>
      <c r="X68" s="1135"/>
      <c r="Y68" s="988"/>
      <c r="Z68" s="1136"/>
      <c r="AA68" s="1000"/>
      <c r="AB68" s="1135"/>
      <c r="AC68" s="988"/>
      <c r="AD68" s="1136"/>
      <c r="AE68" s="1000"/>
      <c r="AF68" s="1135"/>
      <c r="AG68" s="988"/>
      <c r="AH68" s="1136"/>
      <c r="AI68" s="1135"/>
      <c r="AK68" s="988"/>
      <c r="AL68" s="1135"/>
      <c r="AM68" s="1137"/>
      <c r="AN68" s="1000"/>
      <c r="AO68" s="988"/>
      <c r="AP68" s="1138"/>
      <c r="AQ68" s="1138"/>
      <c r="AR68" s="1138"/>
      <c r="AS68" s="1138"/>
      <c r="AT68" s="1139"/>
      <c r="AU68" s="988"/>
      <c r="AV68" s="988"/>
      <c r="AW68" s="988"/>
      <c r="AX68" s="1019"/>
      <c r="AY68" s="1005" t="s">
        <v>448</v>
      </c>
      <c r="AZ68" s="1006"/>
      <c r="BA68" s="1006" t="s">
        <v>441</v>
      </c>
      <c r="BB68" s="1007"/>
      <c r="BC68" s="1137"/>
      <c r="BD68" s="987"/>
      <c r="BE68" s="987"/>
      <c r="BF68" s="987"/>
      <c r="BG68" s="987"/>
      <c r="BH68" s="987"/>
      <c r="BI68" s="987"/>
      <c r="BJ68" s="987"/>
      <c r="BK68" s="987"/>
      <c r="BL68" s="1139"/>
      <c r="BM68" s="1139"/>
      <c r="BN68" s="1140"/>
      <c r="BO68" s="1140"/>
      <c r="BP68" s="1140"/>
      <c r="BQ68" s="972"/>
    </row>
    <row r="69" spans="1:69" ht="13.5" x14ac:dyDescent="0.2">
      <c r="A69" s="968" t="s">
        <v>2</v>
      </c>
      <c r="B69" s="964"/>
      <c r="C69" s="2461" t="s">
        <v>39</v>
      </c>
      <c r="D69" s="2462"/>
      <c r="E69" s="944"/>
      <c r="F69" s="925" t="s">
        <v>452</v>
      </c>
      <c r="G69" s="925" t="s">
        <v>453</v>
      </c>
      <c r="H69" s="925" t="s">
        <v>454</v>
      </c>
      <c r="I69" s="2425" t="s">
        <v>455</v>
      </c>
      <c r="J69" s="1010" t="s">
        <v>399</v>
      </c>
      <c r="K69" s="1010" t="s">
        <v>398</v>
      </c>
      <c r="L69" s="1010" t="s">
        <v>397</v>
      </c>
      <c r="M69" s="1011" t="s">
        <v>395</v>
      </c>
      <c r="N69" s="1010" t="s">
        <v>373</v>
      </c>
      <c r="O69" s="1010" t="s">
        <v>374</v>
      </c>
      <c r="P69" s="1010" t="s">
        <v>375</v>
      </c>
      <c r="Q69" s="1011" t="s">
        <v>376</v>
      </c>
      <c r="R69" s="1010" t="s">
        <v>330</v>
      </c>
      <c r="S69" s="1010" t="s">
        <v>329</v>
      </c>
      <c r="T69" s="1010" t="s">
        <v>328</v>
      </c>
      <c r="U69" s="1011" t="s">
        <v>326</v>
      </c>
      <c r="V69" s="1012" t="s">
        <v>282</v>
      </c>
      <c r="W69" s="1010" t="s">
        <v>283</v>
      </c>
      <c r="X69" s="1010" t="s">
        <v>284</v>
      </c>
      <c r="Y69" s="1011" t="s">
        <v>285</v>
      </c>
      <c r="Z69" s="1012" t="s">
        <v>220</v>
      </c>
      <c r="AA69" s="1010" t="s">
        <v>221</v>
      </c>
      <c r="AB69" s="1010" t="s">
        <v>222</v>
      </c>
      <c r="AC69" s="1141" t="s">
        <v>219</v>
      </c>
      <c r="AD69" s="1012" t="s">
        <v>185</v>
      </c>
      <c r="AE69" s="1010" t="s">
        <v>186</v>
      </c>
      <c r="AF69" s="1010" t="s">
        <v>187</v>
      </c>
      <c r="AG69" s="1141" t="s">
        <v>188</v>
      </c>
      <c r="AH69" s="1012" t="s">
        <v>118</v>
      </c>
      <c r="AI69" s="1010" t="s">
        <v>117</v>
      </c>
      <c r="AJ69" s="1010" t="s">
        <v>116</v>
      </c>
      <c r="AK69" s="1141" t="s">
        <v>115</v>
      </c>
      <c r="AL69" s="1010" t="s">
        <v>83</v>
      </c>
      <c r="AM69" s="1010" t="s">
        <v>84</v>
      </c>
      <c r="AN69" s="1010" t="s">
        <v>85</v>
      </c>
      <c r="AO69" s="1141" t="s">
        <v>30</v>
      </c>
      <c r="AP69" s="1142" t="s">
        <v>31</v>
      </c>
      <c r="AQ69" s="1142" t="s">
        <v>32</v>
      </c>
      <c r="AR69" s="1142" t="s">
        <v>33</v>
      </c>
      <c r="AS69" s="1142" t="s">
        <v>34</v>
      </c>
      <c r="AT69" s="1143" t="s">
        <v>35</v>
      </c>
      <c r="AU69" s="1141" t="s">
        <v>36</v>
      </c>
      <c r="AV69" s="1141" t="s">
        <v>37</v>
      </c>
      <c r="AW69" s="1141" t="s">
        <v>38</v>
      </c>
      <c r="AX69" s="1144"/>
      <c r="AY69" s="1010" t="s">
        <v>399</v>
      </c>
      <c r="AZ69" s="1010" t="s">
        <v>373</v>
      </c>
      <c r="BA69" s="2453" t="s">
        <v>39</v>
      </c>
      <c r="BB69" s="2454"/>
      <c r="BC69" s="1076"/>
      <c r="BD69" s="1012" t="s">
        <v>438</v>
      </c>
      <c r="BE69" s="1012" t="s">
        <v>385</v>
      </c>
      <c r="BF69" s="1012" t="s">
        <v>332</v>
      </c>
      <c r="BG69" s="1012" t="s">
        <v>287</v>
      </c>
      <c r="BH69" s="1012" t="s">
        <v>224</v>
      </c>
      <c r="BI69" s="1012" t="s">
        <v>120</v>
      </c>
      <c r="BJ69" s="1145" t="s">
        <v>119</v>
      </c>
      <c r="BK69" s="1145" t="s">
        <v>43</v>
      </c>
      <c r="BL69" s="1143" t="s">
        <v>40</v>
      </c>
      <c r="BM69" s="1143" t="s">
        <v>41</v>
      </c>
      <c r="BN69" s="1143" t="s">
        <v>138</v>
      </c>
      <c r="BO69" s="1143" t="s">
        <v>139</v>
      </c>
      <c r="BP69" s="1143" t="s">
        <v>140</v>
      </c>
      <c r="BQ69" s="972"/>
    </row>
    <row r="70" spans="1:69" ht="12.75" customHeight="1" x14ac:dyDescent="0.2">
      <c r="A70" s="970" t="s">
        <v>3</v>
      </c>
      <c r="B70" s="971"/>
      <c r="C70" s="2411"/>
      <c r="D70" s="2412"/>
      <c r="E70" s="928"/>
      <c r="F70" s="957"/>
      <c r="G70" s="930"/>
      <c r="H70" s="930"/>
      <c r="I70" s="2430"/>
      <c r="J70" s="1146"/>
      <c r="K70" s="989"/>
      <c r="L70" s="989"/>
      <c r="M70" s="1032"/>
      <c r="N70" s="1146"/>
      <c r="O70" s="989"/>
      <c r="P70" s="989"/>
      <c r="Q70" s="1032"/>
      <c r="R70" s="1146"/>
      <c r="S70" s="989"/>
      <c r="T70" s="989"/>
      <c r="U70" s="1032"/>
      <c r="V70" s="1146"/>
      <c r="W70" s="989"/>
      <c r="X70" s="989"/>
      <c r="Y70" s="1032"/>
      <c r="Z70" s="1146"/>
      <c r="AA70" s="989"/>
      <c r="AB70" s="989"/>
      <c r="AC70" s="1032"/>
      <c r="AD70" s="1146"/>
      <c r="AE70" s="989"/>
      <c r="AF70" s="989"/>
      <c r="AG70" s="1032"/>
      <c r="AH70" s="1146"/>
      <c r="AI70" s="989"/>
      <c r="AJ70" s="989"/>
      <c r="AK70" s="1032"/>
      <c r="AL70" s="989"/>
      <c r="AM70" s="989"/>
      <c r="AN70" s="989"/>
      <c r="AO70" s="1032"/>
      <c r="AP70" s="987"/>
      <c r="AQ70" s="1138"/>
      <c r="AR70" s="1138"/>
      <c r="AS70" s="988"/>
      <c r="AT70" s="1139"/>
      <c r="AU70" s="988"/>
      <c r="AV70" s="988"/>
      <c r="AW70" s="988"/>
      <c r="AX70" s="1019"/>
      <c r="AY70" s="989"/>
      <c r="AZ70" s="989"/>
      <c r="BA70" s="1138"/>
      <c r="BB70" s="988"/>
      <c r="BC70" s="985"/>
      <c r="BD70" s="1139"/>
      <c r="BE70" s="1139"/>
      <c r="BF70" s="1139"/>
      <c r="BG70" s="1139"/>
      <c r="BH70" s="1139"/>
      <c r="BI70" s="1139"/>
      <c r="BJ70" s="1139"/>
      <c r="BK70" s="1139"/>
      <c r="BL70" s="1139"/>
      <c r="BM70" s="1139"/>
      <c r="BN70" s="1139"/>
      <c r="BO70" s="1139"/>
      <c r="BP70" s="1139"/>
      <c r="BQ70" s="972"/>
    </row>
    <row r="71" spans="1:69" ht="12.75" customHeight="1" x14ac:dyDescent="0.2">
      <c r="A71" s="969"/>
      <c r="B71" s="969" t="s">
        <v>4</v>
      </c>
      <c r="C71" s="2413">
        <v>-9467</v>
      </c>
      <c r="D71" s="2401">
        <v>-4.4144665056375723E-2</v>
      </c>
      <c r="E71" s="950"/>
      <c r="F71" s="2378">
        <v>0</v>
      </c>
      <c r="G71" s="2378">
        <v>0</v>
      </c>
      <c r="H71" s="2378">
        <v>0</v>
      </c>
      <c r="I71" s="2426">
        <v>204987</v>
      </c>
      <c r="J71" s="1147">
        <v>200912</v>
      </c>
      <c r="K71" s="1147">
        <v>181837</v>
      </c>
      <c r="L71" s="1147">
        <v>190602</v>
      </c>
      <c r="M71" s="1148">
        <v>214454</v>
      </c>
      <c r="N71" s="1147">
        <v>232465</v>
      </c>
      <c r="O71" s="1147">
        <v>166471</v>
      </c>
      <c r="P71" s="1147">
        <v>236271</v>
      </c>
      <c r="Q71" s="1148">
        <v>245556</v>
      </c>
      <c r="R71" s="1147">
        <v>253748</v>
      </c>
      <c r="S71" s="1147">
        <v>230959</v>
      </c>
      <c r="T71" s="1147">
        <v>183306</v>
      </c>
      <c r="U71" s="1148">
        <v>187231</v>
      </c>
      <c r="V71" s="1149">
        <v>217971</v>
      </c>
      <c r="W71" s="1147">
        <v>230003</v>
      </c>
      <c r="X71" s="1147">
        <v>186599</v>
      </c>
      <c r="Y71" s="1148">
        <v>162549</v>
      </c>
      <c r="Z71" s="1149">
        <v>177692</v>
      </c>
      <c r="AA71" s="1147">
        <v>147889</v>
      </c>
      <c r="AB71" s="1147">
        <v>119500</v>
      </c>
      <c r="AC71" s="1148">
        <v>159783</v>
      </c>
      <c r="AD71" s="1149">
        <v>247595</v>
      </c>
      <c r="AE71" s="1147">
        <v>254834</v>
      </c>
      <c r="AF71" s="1147">
        <v>149285</v>
      </c>
      <c r="AG71" s="1148">
        <v>151917</v>
      </c>
      <c r="AH71" s="1149">
        <v>143133</v>
      </c>
      <c r="AI71" s="1147">
        <v>173197</v>
      </c>
      <c r="AJ71" s="1147">
        <v>123744</v>
      </c>
      <c r="AK71" s="1148">
        <v>137463</v>
      </c>
      <c r="AL71" s="1147">
        <v>106996</v>
      </c>
      <c r="AM71" s="1147">
        <v>87188</v>
      </c>
      <c r="AN71" s="1147">
        <v>110829</v>
      </c>
      <c r="AO71" s="1148">
        <v>172708</v>
      </c>
      <c r="AP71" s="974">
        <v>143446</v>
      </c>
      <c r="AQ71" s="992">
        <v>183354</v>
      </c>
      <c r="AR71" s="992">
        <v>158869</v>
      </c>
      <c r="AS71" s="1017">
        <v>245870</v>
      </c>
      <c r="AT71" s="1018">
        <v>216443</v>
      </c>
      <c r="AU71" s="1017">
        <v>178313</v>
      </c>
      <c r="AV71" s="1017">
        <v>156031</v>
      </c>
      <c r="AW71" s="1017">
        <v>206127</v>
      </c>
      <c r="AX71" s="1019"/>
      <c r="AY71" s="1020">
        <v>787805</v>
      </c>
      <c r="AZ71" s="1147">
        <v>880763</v>
      </c>
      <c r="BA71" s="992">
        <v>-92958</v>
      </c>
      <c r="BB71" s="976">
        <v>-0.10554258069423897</v>
      </c>
      <c r="BC71" s="985"/>
      <c r="BD71" s="1018">
        <v>787805</v>
      </c>
      <c r="BE71" s="1018">
        <v>880763</v>
      </c>
      <c r="BF71" s="1018">
        <v>855244</v>
      </c>
      <c r="BG71" s="1150">
        <v>797122</v>
      </c>
      <c r="BH71" s="1150">
        <v>604864</v>
      </c>
      <c r="BI71" s="1150">
        <v>803631</v>
      </c>
      <c r="BJ71" s="1150">
        <v>577537</v>
      </c>
      <c r="BK71" s="1150">
        <v>477721</v>
      </c>
      <c r="BL71" s="1150">
        <v>731539</v>
      </c>
      <c r="BM71" s="1018">
        <v>756914</v>
      </c>
      <c r="BN71" s="1018">
        <v>583415</v>
      </c>
      <c r="BO71" s="1018">
        <v>432778</v>
      </c>
      <c r="BP71" s="1018">
        <v>402157</v>
      </c>
      <c r="BQ71" s="972"/>
    </row>
    <row r="72" spans="1:69" ht="12.75" customHeight="1" x14ac:dyDescent="0.2">
      <c r="A72" s="969"/>
      <c r="B72" s="969" t="s">
        <v>5</v>
      </c>
      <c r="C72" s="2413">
        <v>-5184</v>
      </c>
      <c r="D72" s="2401">
        <v>-2.6033244614071211E-2</v>
      </c>
      <c r="E72" s="950"/>
      <c r="F72" s="2378">
        <v>0</v>
      </c>
      <c r="G72" s="2378">
        <v>0</v>
      </c>
      <c r="H72" s="2378">
        <v>0</v>
      </c>
      <c r="I72" s="2426">
        <v>193946</v>
      </c>
      <c r="J72" s="1147">
        <v>204257</v>
      </c>
      <c r="K72" s="1147">
        <v>204249</v>
      </c>
      <c r="L72" s="1147">
        <v>186226</v>
      </c>
      <c r="M72" s="1148">
        <v>199130</v>
      </c>
      <c r="N72" s="1147">
        <v>220047</v>
      </c>
      <c r="O72" s="1147">
        <v>184112</v>
      </c>
      <c r="P72" s="1147">
        <v>207395</v>
      </c>
      <c r="Q72" s="1148">
        <v>215904</v>
      </c>
      <c r="R72" s="1147">
        <v>217779</v>
      </c>
      <c r="S72" s="1147">
        <v>202914</v>
      </c>
      <c r="T72" s="1147">
        <v>175367</v>
      </c>
      <c r="U72" s="1148">
        <v>174527</v>
      </c>
      <c r="V72" s="1149">
        <v>200481</v>
      </c>
      <c r="W72" s="1147">
        <v>205025</v>
      </c>
      <c r="X72" s="1147">
        <v>179710</v>
      </c>
      <c r="Y72" s="1148">
        <v>181677</v>
      </c>
      <c r="Z72" s="1149">
        <v>166505</v>
      </c>
      <c r="AA72" s="1147">
        <v>132063</v>
      </c>
      <c r="AB72" s="1147">
        <v>122510</v>
      </c>
      <c r="AC72" s="1148">
        <v>143104</v>
      </c>
      <c r="AD72" s="1149">
        <v>188349</v>
      </c>
      <c r="AE72" s="1147">
        <v>190238</v>
      </c>
      <c r="AF72" s="1147">
        <v>132849</v>
      </c>
      <c r="AG72" s="1148">
        <v>131857</v>
      </c>
      <c r="AH72" s="1149">
        <v>132658</v>
      </c>
      <c r="AI72" s="1147">
        <v>150887</v>
      </c>
      <c r="AJ72" s="1147">
        <v>115883</v>
      </c>
      <c r="AK72" s="1148">
        <v>121468</v>
      </c>
      <c r="AL72" s="1147">
        <v>100169</v>
      </c>
      <c r="AM72" s="1147">
        <v>108534</v>
      </c>
      <c r="AN72" s="1147">
        <v>115805</v>
      </c>
      <c r="AO72" s="1148">
        <v>149179</v>
      </c>
      <c r="AP72" s="974">
        <v>131632</v>
      </c>
      <c r="AQ72" s="992">
        <v>154817</v>
      </c>
      <c r="AR72" s="992">
        <v>135342</v>
      </c>
      <c r="AS72" s="1017">
        <v>187220</v>
      </c>
      <c r="AT72" s="1018">
        <v>176307</v>
      </c>
      <c r="AU72" s="1017">
        <v>144677</v>
      </c>
      <c r="AV72" s="1017">
        <v>130781</v>
      </c>
      <c r="AW72" s="1017">
        <v>166952</v>
      </c>
      <c r="AX72" s="1019"/>
      <c r="AY72" s="1020">
        <v>793862</v>
      </c>
      <c r="AZ72" s="1147">
        <v>827458</v>
      </c>
      <c r="BA72" s="992">
        <v>-33596</v>
      </c>
      <c r="BB72" s="976">
        <v>-4.0601456508970846E-2</v>
      </c>
      <c r="BC72" s="985"/>
      <c r="BD72" s="1018">
        <v>793862</v>
      </c>
      <c r="BE72" s="1018">
        <v>827458</v>
      </c>
      <c r="BF72" s="1018">
        <v>770587</v>
      </c>
      <c r="BG72" s="1150">
        <v>766893</v>
      </c>
      <c r="BH72" s="1150">
        <v>564182</v>
      </c>
      <c r="BI72" s="1150">
        <v>643293</v>
      </c>
      <c r="BJ72" s="1150">
        <v>520896</v>
      </c>
      <c r="BK72" s="1150">
        <v>473687</v>
      </c>
      <c r="BL72" s="1150">
        <v>609011</v>
      </c>
      <c r="BM72" s="1018">
        <v>618717</v>
      </c>
      <c r="BN72" s="1018">
        <v>464385</v>
      </c>
      <c r="BO72" s="1018">
        <v>360022</v>
      </c>
      <c r="BP72" s="1018">
        <v>339600</v>
      </c>
      <c r="BQ72" s="972"/>
    </row>
    <row r="73" spans="1:69" ht="12.75" customHeight="1" x14ac:dyDescent="0.2">
      <c r="A73" s="969"/>
      <c r="B73" s="969" t="s">
        <v>6</v>
      </c>
      <c r="C73" s="2413">
        <v>897</v>
      </c>
      <c r="D73" s="2401">
        <v>0.44738154613466335</v>
      </c>
      <c r="E73" s="950"/>
      <c r="F73" s="2298">
        <v>0</v>
      </c>
      <c r="G73" s="2298">
        <v>0</v>
      </c>
      <c r="H73" s="2378">
        <v>0</v>
      </c>
      <c r="I73" s="2426">
        <v>2902</v>
      </c>
      <c r="J73" s="1151">
        <v>-1232</v>
      </c>
      <c r="K73" s="1151">
        <v>-3268</v>
      </c>
      <c r="L73" s="1147">
        <v>2433</v>
      </c>
      <c r="M73" s="1148">
        <v>2005</v>
      </c>
      <c r="N73" s="1147">
        <v>3598</v>
      </c>
      <c r="O73" s="1151">
        <v>-3388</v>
      </c>
      <c r="P73" s="1147">
        <v>8130</v>
      </c>
      <c r="Q73" s="1148">
        <v>5635</v>
      </c>
      <c r="R73" s="1147">
        <v>6894</v>
      </c>
      <c r="S73" s="1147">
        <v>6818</v>
      </c>
      <c r="T73" s="1147">
        <v>1205</v>
      </c>
      <c r="U73" s="1148">
        <v>894</v>
      </c>
      <c r="V73" s="1149">
        <v>1911</v>
      </c>
      <c r="W73" s="1147">
        <v>4525</v>
      </c>
      <c r="X73" s="1147">
        <v>982</v>
      </c>
      <c r="Y73" s="1152">
        <v>-2833</v>
      </c>
      <c r="Z73" s="1149">
        <v>9098</v>
      </c>
      <c r="AA73" s="1147">
        <v>5182</v>
      </c>
      <c r="AB73" s="1147">
        <v>-1345</v>
      </c>
      <c r="AC73" s="1148">
        <v>2554</v>
      </c>
      <c r="AD73" s="1149">
        <v>16993</v>
      </c>
      <c r="AE73" s="1147">
        <v>18992</v>
      </c>
      <c r="AF73" s="1147">
        <v>4358</v>
      </c>
      <c r="AG73" s="1148">
        <v>5868.5496999999996</v>
      </c>
      <c r="AH73" s="1149">
        <v>-597</v>
      </c>
      <c r="AI73" s="1147">
        <v>7197</v>
      </c>
      <c r="AJ73" s="1147">
        <v>1115</v>
      </c>
      <c r="AK73" s="1148">
        <v>6883</v>
      </c>
      <c r="AL73" s="1147">
        <v>3063</v>
      </c>
      <c r="AM73" s="1147">
        <v>-5104</v>
      </c>
      <c r="AN73" s="1147">
        <v>422</v>
      </c>
      <c r="AO73" s="1148">
        <v>7070</v>
      </c>
      <c r="AP73" s="974">
        <v>4639.4799999999996</v>
      </c>
      <c r="AQ73" s="992">
        <v>10704.065999999999</v>
      </c>
      <c r="AR73" s="992">
        <v>8217.0590000000011</v>
      </c>
      <c r="AS73" s="1017">
        <v>19621</v>
      </c>
      <c r="AT73" s="1018">
        <v>14120</v>
      </c>
      <c r="AU73" s="1017">
        <v>9944</v>
      </c>
      <c r="AV73" s="1017">
        <v>7444</v>
      </c>
      <c r="AW73" s="1017">
        <v>13233</v>
      </c>
      <c r="AX73" s="1019"/>
      <c r="AY73" s="1020">
        <v>-62</v>
      </c>
      <c r="AZ73" s="1147">
        <v>13975</v>
      </c>
      <c r="BA73" s="992">
        <v>-14037</v>
      </c>
      <c r="BB73" s="976">
        <v>-1.0044364937388193</v>
      </c>
      <c r="BC73" s="985"/>
      <c r="BD73" s="1018">
        <v>-62</v>
      </c>
      <c r="BE73" s="1018">
        <v>13975</v>
      </c>
      <c r="BF73" s="1018">
        <v>15811</v>
      </c>
      <c r="BG73" s="1150">
        <v>4585</v>
      </c>
      <c r="BH73" s="1150">
        <v>15489</v>
      </c>
      <c r="BI73" s="1150">
        <v>46211.549700000003</v>
      </c>
      <c r="BJ73" s="1150">
        <v>14598</v>
      </c>
      <c r="BK73" s="1150">
        <v>5451</v>
      </c>
      <c r="BL73" s="1150">
        <v>43181.604999999996</v>
      </c>
      <c r="BM73" s="1018">
        <v>44741</v>
      </c>
      <c r="BN73" s="1018">
        <v>37880</v>
      </c>
      <c r="BO73" s="1018">
        <v>24177</v>
      </c>
      <c r="BP73" s="1018">
        <v>22128</v>
      </c>
      <c r="BQ73" s="972"/>
    </row>
    <row r="74" spans="1:69" ht="12.75" customHeight="1" x14ac:dyDescent="0.2">
      <c r="A74" s="969"/>
      <c r="B74" s="969" t="s">
        <v>7</v>
      </c>
      <c r="C74" s="2413">
        <v>-5180</v>
      </c>
      <c r="D74" s="2401">
        <v>-0.38891808694346425</v>
      </c>
      <c r="E74" s="950"/>
      <c r="F74" s="2298">
        <v>0</v>
      </c>
      <c r="G74" s="2298">
        <v>0</v>
      </c>
      <c r="H74" s="2378">
        <v>0</v>
      </c>
      <c r="I74" s="2426">
        <v>8139</v>
      </c>
      <c r="J74" s="1151">
        <v>-2113</v>
      </c>
      <c r="K74" s="1151">
        <v>-19144</v>
      </c>
      <c r="L74" s="1147">
        <v>1943</v>
      </c>
      <c r="M74" s="1148">
        <v>13319</v>
      </c>
      <c r="N74" s="1147">
        <v>8820</v>
      </c>
      <c r="O74" s="1151">
        <v>-14253</v>
      </c>
      <c r="P74" s="1147">
        <v>20746</v>
      </c>
      <c r="Q74" s="1148">
        <v>24017</v>
      </c>
      <c r="R74" s="1147">
        <v>29075</v>
      </c>
      <c r="S74" s="1147">
        <v>21227</v>
      </c>
      <c r="T74" s="1147">
        <v>6734</v>
      </c>
      <c r="U74" s="1148">
        <v>11810</v>
      </c>
      <c r="V74" s="1149">
        <v>15579</v>
      </c>
      <c r="W74" s="1147">
        <v>20453</v>
      </c>
      <c r="X74" s="1147">
        <v>5907</v>
      </c>
      <c r="Y74" s="1152">
        <v>-16295</v>
      </c>
      <c r="Z74" s="1149">
        <v>2089</v>
      </c>
      <c r="AA74" s="1147">
        <v>10644</v>
      </c>
      <c r="AB74" s="1147">
        <v>-1665</v>
      </c>
      <c r="AC74" s="1148">
        <v>14125</v>
      </c>
      <c r="AD74" s="1149">
        <v>42253</v>
      </c>
      <c r="AE74" s="1147">
        <v>45604</v>
      </c>
      <c r="AF74" s="1147">
        <v>12078</v>
      </c>
      <c r="AG74" s="1148">
        <v>14191.4503</v>
      </c>
      <c r="AH74" s="1149">
        <v>11072</v>
      </c>
      <c r="AI74" s="1147">
        <v>15113</v>
      </c>
      <c r="AJ74" s="1147">
        <v>6746</v>
      </c>
      <c r="AK74" s="1148">
        <v>9112</v>
      </c>
      <c r="AL74" s="1147">
        <v>3764</v>
      </c>
      <c r="AM74" s="1147">
        <v>-16242</v>
      </c>
      <c r="AN74" s="1147">
        <v>-5398</v>
      </c>
      <c r="AO74" s="1148">
        <v>16459</v>
      </c>
      <c r="AP74" s="974">
        <v>7174.52</v>
      </c>
      <c r="AQ74" s="992">
        <v>17832.934000000001</v>
      </c>
      <c r="AR74" s="992">
        <v>15309.940999999999</v>
      </c>
      <c r="AS74" s="1017">
        <v>39029</v>
      </c>
      <c r="AT74" s="1018">
        <v>26016</v>
      </c>
      <c r="AU74" s="1017">
        <v>23692</v>
      </c>
      <c r="AV74" s="1017">
        <v>17806</v>
      </c>
      <c r="AW74" s="1017">
        <v>25942</v>
      </c>
      <c r="AX74" s="1019"/>
      <c r="AY74" s="1020">
        <v>-5995</v>
      </c>
      <c r="AZ74" s="1147">
        <v>39330</v>
      </c>
      <c r="BA74" s="1151">
        <v>-45325</v>
      </c>
      <c r="BB74" s="976">
        <v>-1.1524281718789728</v>
      </c>
      <c r="BC74" s="985"/>
      <c r="BD74" s="1018">
        <v>-5995</v>
      </c>
      <c r="BE74" s="1018">
        <v>39330</v>
      </c>
      <c r="BF74" s="1018">
        <v>68846</v>
      </c>
      <c r="BG74" s="1150">
        <v>25644</v>
      </c>
      <c r="BH74" s="1150">
        <v>25193</v>
      </c>
      <c r="BI74" s="1150">
        <v>114126.4503</v>
      </c>
      <c r="BJ74" s="1150">
        <v>42043</v>
      </c>
      <c r="BK74" s="1150">
        <v>-1417</v>
      </c>
      <c r="BL74" s="1150">
        <v>79346.395000000004</v>
      </c>
      <c r="BM74" s="1018">
        <v>93456</v>
      </c>
      <c r="BN74" s="1018">
        <v>81150</v>
      </c>
      <c r="BO74" s="1018">
        <v>48579</v>
      </c>
      <c r="BP74" s="1018">
        <v>40429</v>
      </c>
      <c r="BQ74" s="972"/>
    </row>
    <row r="75" spans="1:69" ht="12.75" customHeight="1" x14ac:dyDescent="0.2">
      <c r="A75" s="969"/>
      <c r="B75" s="969" t="s">
        <v>362</v>
      </c>
      <c r="C75" s="2400">
        <v>-5229.92</v>
      </c>
      <c r="D75" s="2401">
        <v>-0.4174251735972544</v>
      </c>
      <c r="E75" s="927"/>
      <c r="F75" s="2298">
        <v>0</v>
      </c>
      <c r="G75" s="2298">
        <v>0</v>
      </c>
      <c r="H75" s="916">
        <v>0</v>
      </c>
      <c r="I75" s="2428">
        <v>7299.08</v>
      </c>
      <c r="J75" s="1151">
        <v>-2106.92</v>
      </c>
      <c r="K75" s="1151">
        <v>-19229.559999999998</v>
      </c>
      <c r="L75" s="992">
        <v>2187</v>
      </c>
      <c r="M75" s="1017">
        <v>12529</v>
      </c>
      <c r="N75" s="1147">
        <v>7899.85</v>
      </c>
      <c r="O75" s="992">
        <v>-14400.4</v>
      </c>
      <c r="P75" s="992">
        <v>19986.2</v>
      </c>
      <c r="Q75" s="1017">
        <v>22962.3</v>
      </c>
      <c r="R75" s="1147">
        <v>28636.65</v>
      </c>
      <c r="S75" s="1147">
        <v>19967.95</v>
      </c>
      <c r="T75" s="992">
        <v>6192.3</v>
      </c>
      <c r="U75" s="1017">
        <v>12413.9</v>
      </c>
      <c r="V75" s="1149">
        <v>15657.05</v>
      </c>
      <c r="W75" s="992">
        <v>20745.599999999999</v>
      </c>
      <c r="X75" s="992">
        <v>5864</v>
      </c>
      <c r="Y75" s="1152">
        <v>-16059.3</v>
      </c>
      <c r="Z75" s="1149">
        <v>2306.1</v>
      </c>
      <c r="AA75" s="992">
        <v>10825.125</v>
      </c>
      <c r="AB75" s="992">
        <v>-1665</v>
      </c>
      <c r="AC75" s="1017">
        <v>14125</v>
      </c>
      <c r="AD75" s="992">
        <v>42253</v>
      </c>
      <c r="AE75" s="992">
        <v>45604</v>
      </c>
      <c r="AF75" s="992">
        <v>12078</v>
      </c>
      <c r="AG75" s="1017">
        <v>14191.4503</v>
      </c>
      <c r="AH75" s="992">
        <v>11072</v>
      </c>
      <c r="AI75" s="992">
        <v>15113</v>
      </c>
      <c r="AJ75" s="992"/>
      <c r="AK75" s="1017"/>
      <c r="AL75" s="992"/>
      <c r="AM75" s="992"/>
      <c r="AN75" s="992"/>
      <c r="AO75" s="1017"/>
      <c r="AP75" s="992"/>
      <c r="AQ75" s="992"/>
      <c r="AR75" s="992"/>
      <c r="AS75" s="992"/>
      <c r="AT75" s="1018"/>
      <c r="AU75" s="1017"/>
      <c r="AV75" s="1017"/>
      <c r="AW75" s="1017"/>
      <c r="AX75" s="1019"/>
      <c r="AY75" s="1020">
        <v>-6621.4799999999959</v>
      </c>
      <c r="AZ75" s="1147">
        <v>36447.949999999997</v>
      </c>
      <c r="BA75" s="1151">
        <v>-43069.429999999993</v>
      </c>
      <c r="BB75" s="976">
        <v>-1.1816694766097955</v>
      </c>
      <c r="BC75" s="1021"/>
      <c r="BD75" s="1018">
        <v>-6620.4799999999959</v>
      </c>
      <c r="BE75" s="1018">
        <v>36447.949999999997</v>
      </c>
      <c r="BF75" s="1018">
        <v>67210.8</v>
      </c>
      <c r="BG75" s="1150">
        <v>26207.349999999995</v>
      </c>
      <c r="BH75" s="1150">
        <v>25591.224999999999</v>
      </c>
      <c r="BI75" s="1018">
        <v>114126.4503</v>
      </c>
      <c r="BJ75" s="1018">
        <f>BJ76</f>
        <v>42043</v>
      </c>
      <c r="BK75" s="1018">
        <f>BK76</f>
        <v>-1417</v>
      </c>
      <c r="BL75" s="1018">
        <f>BL76</f>
        <v>79346.395000000004</v>
      </c>
      <c r="BM75" s="1018">
        <f>BM76</f>
        <v>93256</v>
      </c>
      <c r="BN75" s="1018"/>
      <c r="BO75" s="1018"/>
      <c r="BP75" s="1018"/>
      <c r="BQ75" s="972"/>
    </row>
    <row r="76" spans="1:69" ht="12.75" customHeight="1" x14ac:dyDescent="0.2">
      <c r="A76" s="969"/>
      <c r="B76" s="969" t="s">
        <v>372</v>
      </c>
      <c r="C76" s="2413">
        <v>-5230.92</v>
      </c>
      <c r="D76" s="2401">
        <v>-0.54883223166509287</v>
      </c>
      <c r="E76" s="950"/>
      <c r="F76" s="2298">
        <v>0</v>
      </c>
      <c r="G76" s="2298">
        <v>0</v>
      </c>
      <c r="H76" s="916">
        <v>0</v>
      </c>
      <c r="I76" s="2428">
        <v>4300.08</v>
      </c>
      <c r="J76" s="1151">
        <v>-5104.92</v>
      </c>
      <c r="K76" s="1151">
        <v>-22227.559999999998</v>
      </c>
      <c r="L76" s="992">
        <v>-811</v>
      </c>
      <c r="M76" s="1017">
        <v>9531</v>
      </c>
      <c r="N76" s="1147">
        <v>4901.8500000000004</v>
      </c>
      <c r="O76" s="992">
        <v>-17360.400000000001</v>
      </c>
      <c r="P76" s="992">
        <v>17065.2</v>
      </c>
      <c r="Q76" s="1017">
        <v>19964.3</v>
      </c>
      <c r="R76" s="1147">
        <v>25676.65</v>
      </c>
      <c r="S76" s="1147">
        <v>17046.95</v>
      </c>
      <c r="T76" s="992">
        <v>3271.3</v>
      </c>
      <c r="U76" s="1017">
        <v>9453.9</v>
      </c>
      <c r="V76" s="1149">
        <v>12770.05</v>
      </c>
      <c r="W76" s="992">
        <v>17747.599999999999</v>
      </c>
      <c r="X76" s="992">
        <v>2866</v>
      </c>
      <c r="Y76" s="1152">
        <v>-18896.3</v>
      </c>
      <c r="Z76" s="1149">
        <v>1199.0999999999999</v>
      </c>
      <c r="AA76" s="1147">
        <v>9007.125</v>
      </c>
      <c r="AB76" s="1147">
        <v>-3465</v>
      </c>
      <c r="AC76" s="1148">
        <v>14035</v>
      </c>
      <c r="AD76" s="1149">
        <v>42253</v>
      </c>
      <c r="AE76" s="1147">
        <v>45604</v>
      </c>
      <c r="AF76" s="1147">
        <v>12078</v>
      </c>
      <c r="AG76" s="1148">
        <v>14191.4503</v>
      </c>
      <c r="AH76" s="1149">
        <v>11072</v>
      </c>
      <c r="AI76" s="1147">
        <v>15113</v>
      </c>
      <c r="AJ76" s="1147">
        <v>6746</v>
      </c>
      <c r="AK76" s="1148"/>
      <c r="AL76" s="1147"/>
      <c r="AM76" s="1147"/>
      <c r="AN76" s="1147"/>
      <c r="AO76" s="1148"/>
      <c r="AP76" s="974"/>
      <c r="AQ76" s="992"/>
      <c r="AR76" s="992"/>
      <c r="AS76" s="1017"/>
      <c r="AT76" s="1018"/>
      <c r="AU76" s="1017"/>
      <c r="AV76" s="1017"/>
      <c r="AW76" s="1017"/>
      <c r="AX76" s="1019"/>
      <c r="AY76" s="1020">
        <v>-18612.479999999996</v>
      </c>
      <c r="AZ76" s="1147">
        <v>24570.949999999997</v>
      </c>
      <c r="BA76" s="992">
        <v>-43183.429999999993</v>
      </c>
      <c r="BB76" s="976">
        <v>-1.7574994047849186</v>
      </c>
      <c r="BC76" s="985"/>
      <c r="BD76" s="1018">
        <v>-18612.479999999996</v>
      </c>
      <c r="BE76" s="1018">
        <v>24570.949999999997</v>
      </c>
      <c r="BF76" s="1018">
        <v>55448.80000000001</v>
      </c>
      <c r="BG76" s="1150">
        <v>14487.349999999995</v>
      </c>
      <c r="BH76" s="1150">
        <v>20776.224999999999</v>
      </c>
      <c r="BI76" s="1150">
        <v>114126.4503</v>
      </c>
      <c r="BJ76" s="1150">
        <f>'2 Consolidated IS'!BJ75</f>
        <v>42043</v>
      </c>
      <c r="BK76" s="1150">
        <f>'2 Consolidated IS'!BK75</f>
        <v>-1417</v>
      </c>
      <c r="BL76" s="1150">
        <f>'2 Consolidated IS'!BL75</f>
        <v>79346.395000000004</v>
      </c>
      <c r="BM76" s="1150">
        <f>'2 Consolidated IS'!BM75</f>
        <v>93256</v>
      </c>
      <c r="BN76" s="1018"/>
      <c r="BO76" s="1018"/>
      <c r="BP76" s="1018"/>
      <c r="BQ76" s="972"/>
    </row>
    <row r="77" spans="1:69" ht="9.75" customHeight="1" x14ac:dyDescent="0.2">
      <c r="A77" s="986"/>
      <c r="B77" s="964"/>
      <c r="C77" s="2413"/>
      <c r="D77" s="2414"/>
      <c r="E77" s="950"/>
      <c r="F77" s="958"/>
      <c r="G77" s="2298"/>
      <c r="H77" s="948"/>
      <c r="I77" s="2430"/>
      <c r="J77" s="1153"/>
      <c r="K77" s="1151"/>
      <c r="L77" s="1116"/>
      <c r="M77" s="1032"/>
      <c r="N77" s="1153"/>
      <c r="O77" s="1116"/>
      <c r="P77" s="1116"/>
      <c r="Q77" s="1032"/>
      <c r="R77" s="1153"/>
      <c r="S77" s="1116"/>
      <c r="T77" s="1116"/>
      <c r="U77" s="1032"/>
      <c r="V77" s="1153"/>
      <c r="W77" s="1116"/>
      <c r="X77" s="1116"/>
      <c r="Y77" s="1032"/>
      <c r="Z77" s="1153"/>
      <c r="AA77" s="1116"/>
      <c r="AB77" s="1116"/>
      <c r="AC77" s="1032"/>
      <c r="AD77" s="1153"/>
      <c r="AE77" s="1116"/>
      <c r="AF77" s="1116"/>
      <c r="AG77" s="1032"/>
      <c r="AH77" s="1153"/>
      <c r="AI77" s="989"/>
      <c r="AJ77" s="989"/>
      <c r="AK77" s="1032"/>
      <c r="AL77" s="1116"/>
      <c r="AM77" s="989"/>
      <c r="AN77" s="989"/>
      <c r="AO77" s="1032"/>
      <c r="AP77" s="1146"/>
      <c r="AQ77" s="989"/>
      <c r="AR77" s="989"/>
      <c r="AS77" s="1032"/>
      <c r="AT77" s="1019"/>
      <c r="AU77" s="1032"/>
      <c r="AV77" s="1032"/>
      <c r="AW77" s="1032"/>
      <c r="AX77" s="1019"/>
      <c r="AY77" s="989"/>
      <c r="AZ77" s="1151"/>
      <c r="BA77" s="1034"/>
      <c r="BB77" s="1070"/>
      <c r="BC77" s="985"/>
      <c r="BD77" s="1019"/>
      <c r="BE77" s="1019"/>
      <c r="BF77" s="1019"/>
      <c r="BG77" s="1019"/>
      <c r="BH77" s="1019"/>
      <c r="BI77" s="1019"/>
      <c r="BJ77" s="1019"/>
      <c r="BK77" s="1019"/>
      <c r="BL77" s="1019"/>
      <c r="BM77" s="1019"/>
      <c r="BN77" s="1019"/>
      <c r="BO77" s="1019"/>
      <c r="BP77" s="1019"/>
      <c r="BQ77" s="972"/>
    </row>
    <row r="78" spans="1:69" ht="12.75" customHeight="1" x14ac:dyDescent="0.2">
      <c r="A78" s="970" t="s">
        <v>12</v>
      </c>
      <c r="B78" s="969"/>
      <c r="C78" s="2413"/>
      <c r="D78" s="2414"/>
      <c r="E78" s="950"/>
      <c r="F78" s="958"/>
      <c r="G78" s="948"/>
      <c r="H78" s="948"/>
      <c r="I78" s="2426"/>
      <c r="J78" s="1153"/>
      <c r="K78" s="1116"/>
      <c r="L78" s="1116"/>
      <c r="M78" s="1148"/>
      <c r="N78" s="1153"/>
      <c r="O78" s="1116"/>
      <c r="P78" s="1116"/>
      <c r="Q78" s="1148"/>
      <c r="R78" s="1153"/>
      <c r="S78" s="1116"/>
      <c r="T78" s="1116"/>
      <c r="U78" s="1148"/>
      <c r="V78" s="1153"/>
      <c r="W78" s="1116"/>
      <c r="X78" s="1116"/>
      <c r="Y78" s="1148"/>
      <c r="Z78" s="1153"/>
      <c r="AA78" s="1116"/>
      <c r="AB78" s="1116"/>
      <c r="AC78" s="1148"/>
      <c r="AD78" s="1153"/>
      <c r="AE78" s="1116"/>
      <c r="AF78" s="1116"/>
      <c r="AG78" s="1148"/>
      <c r="AH78" s="1153"/>
      <c r="AI78" s="989"/>
      <c r="AJ78" s="989"/>
      <c r="AK78" s="1032"/>
      <c r="AL78" s="1116"/>
      <c r="AM78" s="989"/>
      <c r="AN78" s="989"/>
      <c r="AO78" s="1032"/>
      <c r="AP78" s="1146"/>
      <c r="AQ78" s="989"/>
      <c r="AR78" s="989"/>
      <c r="AS78" s="1032"/>
      <c r="AT78" s="1019"/>
      <c r="AU78" s="1032"/>
      <c r="AV78" s="1032"/>
      <c r="AW78" s="1032"/>
      <c r="AX78" s="1019"/>
      <c r="AY78" s="969"/>
      <c r="AZ78" s="989"/>
      <c r="BA78" s="1034"/>
      <c r="BB78" s="1070"/>
      <c r="BC78" s="985"/>
      <c r="BD78" s="1019"/>
      <c r="BE78" s="1019"/>
      <c r="BF78" s="1019"/>
      <c r="BG78" s="1019"/>
      <c r="BH78" s="1019"/>
      <c r="BI78" s="1019"/>
      <c r="BJ78" s="1019"/>
      <c r="BK78" s="1019"/>
      <c r="BL78" s="1019"/>
      <c r="BM78" s="1019"/>
      <c r="BN78" s="1019"/>
      <c r="BO78" s="1019"/>
      <c r="BP78" s="1019"/>
    </row>
    <row r="79" spans="1:69" ht="12.75" customHeight="1" x14ac:dyDescent="0.2">
      <c r="A79" s="969" t="s">
        <v>13</v>
      </c>
      <c r="B79" s="969"/>
      <c r="C79" s="2413"/>
      <c r="D79" s="2414"/>
      <c r="E79" s="950"/>
      <c r="F79" s="2237"/>
      <c r="G79" s="948"/>
      <c r="H79" s="948"/>
      <c r="I79" s="2430"/>
      <c r="J79" s="978"/>
      <c r="K79" s="1116"/>
      <c r="L79" s="1116"/>
      <c r="M79" s="1032"/>
      <c r="N79" s="1153"/>
      <c r="O79" s="1116"/>
      <c r="P79" s="1116"/>
      <c r="Q79" s="1032"/>
      <c r="R79" s="1153"/>
      <c r="S79" s="1116"/>
      <c r="T79" s="1116"/>
      <c r="U79" s="1032"/>
      <c r="V79" s="1153"/>
      <c r="W79" s="1116"/>
      <c r="X79" s="1116"/>
      <c r="Y79" s="1032"/>
      <c r="Z79" s="1153"/>
      <c r="AA79" s="1116"/>
      <c r="AB79" s="1116"/>
      <c r="AC79" s="1032"/>
      <c r="AD79" s="1153"/>
      <c r="AE79" s="1116"/>
      <c r="AF79" s="1116"/>
      <c r="AG79" s="1032"/>
      <c r="AH79" s="1153"/>
      <c r="AI79" s="989"/>
      <c r="AJ79" s="989"/>
      <c r="AK79" s="1032"/>
      <c r="AL79" s="1116"/>
      <c r="AM79" s="989"/>
      <c r="AN79" s="989"/>
      <c r="AO79" s="1032"/>
      <c r="AP79" s="1146"/>
      <c r="AQ79" s="989"/>
      <c r="AR79" s="989"/>
      <c r="AS79" s="1032"/>
      <c r="AT79" s="1019"/>
      <c r="AU79" s="1032"/>
      <c r="AV79" s="1032"/>
      <c r="AW79" s="1032"/>
      <c r="AX79" s="1019"/>
      <c r="AY79" s="969"/>
      <c r="AZ79" s="969"/>
      <c r="BA79" s="1034"/>
      <c r="BB79" s="1070"/>
      <c r="BC79" s="985"/>
      <c r="BD79" s="1019"/>
      <c r="BE79" s="1019"/>
      <c r="BF79" s="1019"/>
      <c r="BG79" s="1019"/>
      <c r="BH79" s="1019"/>
      <c r="BI79" s="1019"/>
      <c r="BJ79" s="1019"/>
      <c r="BK79" s="1019"/>
      <c r="BL79" s="1019"/>
      <c r="BM79" s="1019"/>
      <c r="BN79" s="1019"/>
      <c r="BO79" s="1019"/>
      <c r="BP79" s="1019"/>
    </row>
    <row r="80" spans="1:69" ht="12.75" customHeight="1" x14ac:dyDescent="0.2">
      <c r="A80" s="969"/>
      <c r="B80" s="969" t="s">
        <v>404</v>
      </c>
      <c r="C80" s="2403">
        <v>-0.05</v>
      </c>
      <c r="D80" s="2401">
        <v>-0.5</v>
      </c>
      <c r="E80" s="927"/>
      <c r="F80" s="2237">
        <v>0</v>
      </c>
      <c r="G80" s="935">
        <v>0</v>
      </c>
      <c r="H80" s="2379">
        <v>0</v>
      </c>
      <c r="I80" s="2434">
        <v>0.05</v>
      </c>
      <c r="J80" s="978">
        <v>-0.06</v>
      </c>
      <c r="K80" s="1034">
        <v>-0.25</v>
      </c>
      <c r="L80" s="1154">
        <v>-0.01</v>
      </c>
      <c r="M80" s="1035">
        <v>0.1</v>
      </c>
      <c r="N80" s="1155">
        <v>0.05</v>
      </c>
      <c r="O80" s="1034">
        <v>-0.19</v>
      </c>
      <c r="P80" s="1156">
        <v>0.19</v>
      </c>
      <c r="Q80" s="1035">
        <v>0.22</v>
      </c>
      <c r="R80" s="1155">
        <v>0.28000000000000003</v>
      </c>
      <c r="S80" s="1156">
        <v>0.18</v>
      </c>
      <c r="T80" s="1156">
        <v>0.03</v>
      </c>
      <c r="U80" s="1035">
        <v>0.1</v>
      </c>
      <c r="V80" s="1155">
        <v>0.14000000000000001</v>
      </c>
      <c r="W80" s="1156">
        <v>0.19</v>
      </c>
      <c r="X80" s="1156">
        <v>0.03</v>
      </c>
      <c r="Y80" s="1035">
        <v>-0.2</v>
      </c>
      <c r="Z80" s="1155">
        <v>0.02</v>
      </c>
      <c r="AA80" s="1156">
        <v>0.12</v>
      </c>
      <c r="AB80" s="1156">
        <v>-0.05</v>
      </c>
      <c r="AC80" s="1037">
        <v>0.19</v>
      </c>
      <c r="AD80" s="1155">
        <v>0.56000000000000005</v>
      </c>
      <c r="AE80" s="1156">
        <v>0.61</v>
      </c>
      <c r="AF80" s="1156">
        <v>0.16</v>
      </c>
      <c r="AG80" s="1037">
        <v>0.21</v>
      </c>
      <c r="AH80" s="1155">
        <v>0.22</v>
      </c>
      <c r="AI80" s="1156">
        <v>0.31</v>
      </c>
      <c r="AJ80" s="1156">
        <v>0.14000000000000001</v>
      </c>
      <c r="AK80" s="1032">
        <v>0.19</v>
      </c>
      <c r="AL80" s="1156">
        <v>0.08</v>
      </c>
      <c r="AM80" s="1156">
        <v>-0.33</v>
      </c>
      <c r="AN80" s="1156">
        <v>-0.11</v>
      </c>
      <c r="AO80" s="1032">
        <v>0.35</v>
      </c>
      <c r="AP80" s="1146">
        <v>0.16</v>
      </c>
      <c r="AQ80" s="1034">
        <v>0.40129999999999999</v>
      </c>
      <c r="AR80" s="1034">
        <v>0.34039999999999998</v>
      </c>
      <c r="AS80" s="1039">
        <v>0.86</v>
      </c>
      <c r="AT80" s="1038">
        <v>0.56999999999999995</v>
      </c>
      <c r="AU80" s="1039">
        <v>0.51</v>
      </c>
      <c r="AV80" s="1039">
        <v>0.39</v>
      </c>
      <c r="AW80" s="1039">
        <v>0.56999999999999995</v>
      </c>
      <c r="AX80" s="1019"/>
      <c r="AY80" s="1041">
        <v>-0.21</v>
      </c>
      <c r="AZ80" s="1041">
        <v>0.27</v>
      </c>
      <c r="BA80" s="1040">
        <v>-0.48</v>
      </c>
      <c r="BB80" s="976">
        <v>-1.7777777777777777</v>
      </c>
      <c r="BC80" s="985"/>
      <c r="BD80" s="1038">
        <v>-0.21</v>
      </c>
      <c r="BE80" s="1038">
        <v>0.27</v>
      </c>
      <c r="BF80" s="1038">
        <v>0.59</v>
      </c>
      <c r="BG80" s="1038">
        <v>0.16</v>
      </c>
      <c r="BH80" s="1038">
        <v>0.28000000000000003</v>
      </c>
      <c r="BI80" s="1038">
        <v>1.56</v>
      </c>
      <c r="BJ80" s="1038">
        <v>0.86</v>
      </c>
      <c r="BK80" s="1038">
        <v>-0.03</v>
      </c>
      <c r="BL80" s="1038">
        <v>1.77</v>
      </c>
      <c r="BM80" s="1038">
        <v>2.0299999999999998</v>
      </c>
      <c r="BN80" s="1038">
        <v>1.82</v>
      </c>
      <c r="BO80" s="1038">
        <v>1.17</v>
      </c>
      <c r="BP80" s="1038">
        <v>1.43</v>
      </c>
    </row>
    <row r="81" spans="1:68" ht="12.75" customHeight="1" x14ac:dyDescent="0.2">
      <c r="A81" s="969"/>
      <c r="B81" s="969" t="s">
        <v>405</v>
      </c>
      <c r="C81" s="2403">
        <v>-0.05</v>
      </c>
      <c r="D81" s="2401">
        <v>-0.5</v>
      </c>
      <c r="E81" s="927"/>
      <c r="F81" s="2237">
        <v>0</v>
      </c>
      <c r="G81" s="935">
        <v>0</v>
      </c>
      <c r="H81" s="2379">
        <v>0</v>
      </c>
      <c r="I81" s="2434">
        <v>0.05</v>
      </c>
      <c r="J81" s="978">
        <v>-0.06</v>
      </c>
      <c r="K81" s="1034">
        <v>-0.25</v>
      </c>
      <c r="L81" s="1154">
        <v>-0.01</v>
      </c>
      <c r="M81" s="1035">
        <v>0.1</v>
      </c>
      <c r="N81" s="1155">
        <v>0.05</v>
      </c>
      <c r="O81" s="1034">
        <v>-0.19</v>
      </c>
      <c r="P81" s="1156">
        <v>0.17</v>
      </c>
      <c r="Q81" s="1035">
        <v>0.2</v>
      </c>
      <c r="R81" s="1155">
        <v>0.25</v>
      </c>
      <c r="S81" s="1156">
        <v>0.17</v>
      </c>
      <c r="T81" s="1156">
        <v>0.03</v>
      </c>
      <c r="U81" s="1035">
        <v>0.09</v>
      </c>
      <c r="V81" s="1155">
        <v>0.12</v>
      </c>
      <c r="W81" s="1156">
        <v>0.17</v>
      </c>
      <c r="X81" s="1156">
        <v>0.03</v>
      </c>
      <c r="Y81" s="1035">
        <v>-0.2</v>
      </c>
      <c r="Z81" s="1155">
        <v>0.02</v>
      </c>
      <c r="AA81" s="1156">
        <v>0.11</v>
      </c>
      <c r="AB81" s="1156">
        <v>-0.05</v>
      </c>
      <c r="AC81" s="1037">
        <v>0.17</v>
      </c>
      <c r="AD81" s="1155">
        <v>0.5</v>
      </c>
      <c r="AE81" s="1156">
        <v>0.55000000000000004</v>
      </c>
      <c r="AF81" s="1156">
        <v>0.15</v>
      </c>
      <c r="AG81" s="1037">
        <v>0.19</v>
      </c>
      <c r="AH81" s="1155">
        <v>0.21</v>
      </c>
      <c r="AI81" s="1156">
        <v>0.27</v>
      </c>
      <c r="AJ81" s="1156">
        <v>0.12</v>
      </c>
      <c r="AK81" s="1032">
        <v>0.16</v>
      </c>
      <c r="AL81" s="1156">
        <v>7.0000000000000007E-2</v>
      </c>
      <c r="AM81" s="1156">
        <v>-0.33</v>
      </c>
      <c r="AN81" s="1156">
        <v>-0.11</v>
      </c>
      <c r="AO81" s="1032">
        <v>0.31</v>
      </c>
      <c r="AP81" s="1146">
        <v>0.15</v>
      </c>
      <c r="AQ81" s="1034">
        <v>0.35899999999999999</v>
      </c>
      <c r="AR81" s="1034">
        <v>0.3135</v>
      </c>
      <c r="AS81" s="1039">
        <v>0.8</v>
      </c>
      <c r="AT81" s="1038">
        <v>0.54</v>
      </c>
      <c r="AU81" s="1039">
        <v>0.49</v>
      </c>
      <c r="AV81" s="1039">
        <v>0.37</v>
      </c>
      <c r="AW81" s="1039">
        <v>0.54</v>
      </c>
      <c r="AX81" s="1019"/>
      <c r="AY81" s="1041">
        <v>-0.21</v>
      </c>
      <c r="AZ81" s="1041">
        <v>0.25</v>
      </c>
      <c r="BA81" s="1040">
        <v>-0.45999999999999996</v>
      </c>
      <c r="BB81" s="976">
        <v>-1.8399999999999999</v>
      </c>
      <c r="BC81" s="985"/>
      <c r="BD81" s="1038">
        <v>-0.21</v>
      </c>
      <c r="BE81" s="1038">
        <v>0.25</v>
      </c>
      <c r="BF81" s="1038">
        <v>0.54</v>
      </c>
      <c r="BG81" s="1038">
        <v>0.14000000000000001</v>
      </c>
      <c r="BH81" s="1038">
        <v>0.25</v>
      </c>
      <c r="BI81" s="1038">
        <v>1.4</v>
      </c>
      <c r="BJ81" s="1038">
        <v>0.76</v>
      </c>
      <c r="BK81" s="1038">
        <v>-0.03</v>
      </c>
      <c r="BL81" s="1038">
        <v>1.63</v>
      </c>
      <c r="BM81" s="1038">
        <v>1.94</v>
      </c>
      <c r="BN81" s="1038">
        <v>1.74</v>
      </c>
      <c r="BO81" s="1038">
        <v>1.1100000000000001</v>
      </c>
      <c r="BP81" s="1038">
        <v>1.1200000000000001</v>
      </c>
    </row>
    <row r="82" spans="1:68" ht="9.75" customHeight="1" x14ac:dyDescent="0.2">
      <c r="A82" s="986"/>
      <c r="B82" s="964"/>
      <c r="C82" s="2413"/>
      <c r="D82" s="2414"/>
      <c r="E82" s="950"/>
      <c r="F82" s="958"/>
      <c r="G82" s="935"/>
      <c r="H82" s="948"/>
      <c r="I82" s="2430"/>
      <c r="J82" s="1153"/>
      <c r="K82" s="1034"/>
      <c r="L82" s="1116"/>
      <c r="M82" s="1032"/>
      <c r="N82" s="1153"/>
      <c r="O82" s="1034"/>
      <c r="P82" s="1116"/>
      <c r="Q82" s="1032"/>
      <c r="R82" s="1153"/>
      <c r="S82" s="1116"/>
      <c r="T82" s="1116"/>
      <c r="U82" s="1032"/>
      <c r="V82" s="1153"/>
      <c r="W82" s="1116"/>
      <c r="X82" s="1116"/>
      <c r="Y82" s="1032"/>
      <c r="Z82" s="1153"/>
      <c r="AA82" s="1116"/>
      <c r="AB82" s="1116"/>
      <c r="AC82" s="1032"/>
      <c r="AD82" s="1153"/>
      <c r="AE82" s="1116"/>
      <c r="AF82" s="1116"/>
      <c r="AG82" s="1032"/>
      <c r="AH82" s="1153"/>
      <c r="AI82" s="989"/>
      <c r="AJ82" s="989"/>
      <c r="AK82" s="1032"/>
      <c r="AL82" s="1116"/>
      <c r="AM82" s="989"/>
      <c r="AN82" s="989"/>
      <c r="AO82" s="1032"/>
      <c r="AP82" s="1146"/>
      <c r="AQ82" s="989"/>
      <c r="AR82" s="989"/>
      <c r="AS82" s="1032"/>
      <c r="AT82" s="1019"/>
      <c r="AU82" s="1032"/>
      <c r="AV82" s="1032"/>
      <c r="AW82" s="1032"/>
      <c r="AX82" s="1019"/>
      <c r="AY82" s="969"/>
      <c r="AZ82" s="969"/>
      <c r="BA82" s="1034"/>
      <c r="BB82" s="1039"/>
      <c r="BC82" s="985"/>
      <c r="BD82" s="1019"/>
      <c r="BE82" s="1019"/>
      <c r="BF82" s="1019"/>
      <c r="BG82" s="1019"/>
      <c r="BH82" s="1019"/>
      <c r="BI82" s="1019"/>
      <c r="BJ82" s="1019"/>
      <c r="BK82" s="1019"/>
      <c r="BL82" s="1019"/>
      <c r="BM82" s="1019"/>
      <c r="BN82" s="1019"/>
      <c r="BO82" s="1019"/>
      <c r="BP82" s="1019"/>
    </row>
    <row r="83" spans="1:68" ht="12.75" customHeight="1" x14ac:dyDescent="0.2">
      <c r="A83" s="970" t="s">
        <v>23</v>
      </c>
      <c r="B83" s="969"/>
      <c r="C83" s="2413"/>
      <c r="D83" s="2414"/>
      <c r="E83" s="950"/>
      <c r="F83" s="958"/>
      <c r="G83" s="945"/>
      <c r="H83" s="948"/>
      <c r="I83" s="2430"/>
      <c r="J83" s="1153"/>
      <c r="K83" s="981"/>
      <c r="L83" s="1116"/>
      <c r="M83" s="1032"/>
      <c r="N83" s="1153"/>
      <c r="O83" s="1116"/>
      <c r="P83" s="1116"/>
      <c r="Q83" s="1032"/>
      <c r="R83" s="1153"/>
      <c r="S83" s="1116"/>
      <c r="T83" s="1116"/>
      <c r="U83" s="1032"/>
      <c r="V83" s="1153"/>
      <c r="W83" s="1116"/>
      <c r="X83" s="1116"/>
      <c r="Y83" s="1032"/>
      <c r="Z83" s="1153"/>
      <c r="AA83" s="1116"/>
      <c r="AB83" s="1116"/>
      <c r="AC83" s="1032"/>
      <c r="AD83" s="1153"/>
      <c r="AE83" s="1116"/>
      <c r="AF83" s="1116"/>
      <c r="AG83" s="1032"/>
      <c r="AH83" s="1153"/>
      <c r="AI83" s="989"/>
      <c r="AJ83" s="989"/>
      <c r="AK83" s="1032"/>
      <c r="AL83" s="1116"/>
      <c r="AM83" s="989"/>
      <c r="AN83" s="989"/>
      <c r="AO83" s="1032"/>
      <c r="AP83" s="1146"/>
      <c r="AQ83" s="989"/>
      <c r="AR83" s="989"/>
      <c r="AS83" s="1032"/>
      <c r="AT83" s="1019"/>
      <c r="AU83" s="1032"/>
      <c r="AV83" s="1032"/>
      <c r="AW83" s="1032"/>
      <c r="AX83" s="1019"/>
      <c r="AY83" s="989"/>
      <c r="AZ83" s="969"/>
      <c r="BA83" s="1034"/>
      <c r="BB83" s="1039"/>
      <c r="BC83" s="985"/>
      <c r="BD83" s="1019"/>
      <c r="BE83" s="1019"/>
      <c r="BF83" s="1019"/>
      <c r="BG83" s="1019"/>
      <c r="BH83" s="1019"/>
      <c r="BI83" s="1019"/>
      <c r="BJ83" s="1019"/>
      <c r="BK83" s="1019"/>
      <c r="BL83" s="1019"/>
      <c r="BM83" s="1019"/>
      <c r="BN83" s="1019"/>
      <c r="BO83" s="1019"/>
      <c r="BP83" s="1019"/>
    </row>
    <row r="84" spans="1:68" ht="12.75" hidden="1" customHeight="1" x14ac:dyDescent="0.2">
      <c r="A84" s="980"/>
      <c r="B84" s="969" t="s">
        <v>24</v>
      </c>
      <c r="C84" s="2404">
        <v>-0.05</v>
      </c>
      <c r="D84" s="2402" t="s">
        <v>313</v>
      </c>
      <c r="E84" s="927"/>
      <c r="F84" s="959"/>
      <c r="G84" s="2366"/>
      <c r="H84" s="929"/>
      <c r="I84" s="2421"/>
      <c r="J84" s="1155"/>
      <c r="K84" s="1179"/>
      <c r="L84" s="1022"/>
      <c r="M84" s="976"/>
      <c r="N84" s="1155"/>
      <c r="O84" s="1156"/>
      <c r="P84" s="1022"/>
      <c r="Q84" s="976"/>
      <c r="R84" s="1155"/>
      <c r="S84" s="1156"/>
      <c r="T84" s="1022"/>
      <c r="U84" s="976"/>
      <c r="V84" s="1155"/>
      <c r="W84" s="1156"/>
      <c r="X84" s="1022"/>
      <c r="Y84" s="976"/>
      <c r="Z84" s="1155"/>
      <c r="AA84" s="1156"/>
      <c r="AB84" s="1022"/>
      <c r="AC84" s="976"/>
      <c r="AD84" s="1155"/>
      <c r="AE84" s="1156"/>
      <c r="AF84" s="1022"/>
      <c r="AG84" s="976">
        <v>0.05</v>
      </c>
      <c r="AH84" s="1155">
        <v>0.05</v>
      </c>
      <c r="AI84" s="1156">
        <v>0.05</v>
      </c>
      <c r="AJ84" s="1156">
        <v>0.05</v>
      </c>
      <c r="AK84" s="976">
        <v>0</v>
      </c>
      <c r="AL84" s="1022">
        <v>0</v>
      </c>
      <c r="AM84" s="1022">
        <v>0</v>
      </c>
      <c r="AN84" s="1022">
        <v>0</v>
      </c>
      <c r="AO84" s="1157">
        <v>0.125</v>
      </c>
      <c r="AP84" s="1146">
        <v>0.125</v>
      </c>
      <c r="AQ84" s="1158">
        <v>0.125</v>
      </c>
      <c r="AR84" s="1159">
        <v>0.125</v>
      </c>
      <c r="AS84" s="1160">
        <v>0.125</v>
      </c>
      <c r="AT84" s="1038">
        <v>0.1</v>
      </c>
      <c r="AU84" s="1039">
        <v>0.1</v>
      </c>
      <c r="AV84" s="1039">
        <v>0.08</v>
      </c>
      <c r="AW84" s="1161">
        <v>0.08</v>
      </c>
      <c r="AX84" s="1019"/>
      <c r="AY84" s="989"/>
      <c r="AZ84" s="969"/>
      <c r="BA84" s="1034">
        <v>0</v>
      </c>
      <c r="BB84" s="1070">
        <v>-0.04</v>
      </c>
      <c r="BC84" s="985"/>
      <c r="BD84" s="1162"/>
      <c r="BE84" s="1162"/>
      <c r="BF84" s="1162"/>
      <c r="BG84" s="1162"/>
      <c r="BH84" s="1162"/>
      <c r="BI84" s="1162">
        <v>0.15000000000000002</v>
      </c>
      <c r="BJ84" s="1162">
        <v>0.15</v>
      </c>
      <c r="BK84" s="1163">
        <v>0.125</v>
      </c>
      <c r="BL84" s="1038">
        <v>0.5</v>
      </c>
      <c r="BM84" s="1038">
        <v>0.36</v>
      </c>
      <c r="BN84" s="1038">
        <v>0.28000000000000003</v>
      </c>
      <c r="BO84" s="1038">
        <v>0.26</v>
      </c>
      <c r="BP84" s="1038">
        <v>0</v>
      </c>
    </row>
    <row r="85" spans="1:68" ht="12.75" hidden="1" customHeight="1" x14ac:dyDescent="0.2">
      <c r="A85" s="969"/>
      <c r="B85" s="969" t="s">
        <v>25</v>
      </c>
      <c r="C85" s="2415">
        <v>0</v>
      </c>
      <c r="D85" s="2402" t="e">
        <v>#DIV/0!</v>
      </c>
      <c r="E85" s="927"/>
      <c r="F85" s="960"/>
      <c r="G85" s="926"/>
      <c r="H85" s="929"/>
      <c r="I85" s="2421"/>
      <c r="J85" s="1164"/>
      <c r="K85" s="975"/>
      <c r="L85" s="1022"/>
      <c r="M85" s="976"/>
      <c r="N85" s="1164"/>
      <c r="O85" s="1022"/>
      <c r="P85" s="1022"/>
      <c r="Q85" s="976"/>
      <c r="R85" s="1164"/>
      <c r="S85" s="1022"/>
      <c r="T85" s="1022"/>
      <c r="U85" s="976"/>
      <c r="V85" s="1164"/>
      <c r="W85" s="1022"/>
      <c r="X85" s="1022"/>
      <c r="Y85" s="976"/>
      <c r="Z85" s="1164"/>
      <c r="AA85" s="1022"/>
      <c r="AB85" s="1022"/>
      <c r="AC85" s="976"/>
      <c r="AD85" s="1164"/>
      <c r="AE85" s="1022"/>
      <c r="AF85" s="1022"/>
      <c r="AG85" s="976">
        <v>0</v>
      </c>
      <c r="AH85" s="1164">
        <v>0</v>
      </c>
      <c r="AI85" s="1022">
        <v>0</v>
      </c>
      <c r="AJ85" s="1022">
        <v>0</v>
      </c>
      <c r="AK85" s="976">
        <v>0</v>
      </c>
      <c r="AL85" s="1022">
        <v>0</v>
      </c>
      <c r="AM85" s="1022">
        <v>0</v>
      </c>
      <c r="AN85" s="1022">
        <v>0</v>
      </c>
      <c r="AO85" s="976">
        <v>0</v>
      </c>
      <c r="AP85" s="1165">
        <v>0</v>
      </c>
      <c r="AQ85" s="1034">
        <v>0</v>
      </c>
      <c r="AR85" s="1034">
        <v>0</v>
      </c>
      <c r="AS85" s="1166">
        <v>0</v>
      </c>
      <c r="AT85" s="1038">
        <v>0</v>
      </c>
      <c r="AU85" s="1039">
        <v>0</v>
      </c>
      <c r="AV85" s="1039">
        <v>0</v>
      </c>
      <c r="AW85" s="1039">
        <v>0</v>
      </c>
      <c r="AX85" s="1019"/>
      <c r="AY85" s="989"/>
      <c r="AZ85" s="969"/>
      <c r="BA85" s="1167">
        <v>0</v>
      </c>
      <c r="BB85" s="1166">
        <v>0</v>
      </c>
      <c r="BC85" s="985"/>
      <c r="BD85" s="1038"/>
      <c r="BE85" s="1038"/>
      <c r="BF85" s="1038"/>
      <c r="BG85" s="1038"/>
      <c r="BH85" s="1038"/>
      <c r="BI85" s="1038">
        <v>0</v>
      </c>
      <c r="BJ85" s="1038"/>
      <c r="BK85" s="1038">
        <v>0</v>
      </c>
      <c r="BL85" s="1038">
        <v>0</v>
      </c>
      <c r="BM85" s="1038">
        <v>0</v>
      </c>
      <c r="BN85" s="1038">
        <v>0</v>
      </c>
      <c r="BO85" s="1038">
        <v>0.15</v>
      </c>
      <c r="BP85" s="1038">
        <v>0</v>
      </c>
    </row>
    <row r="86" spans="1:68" ht="12.75" hidden="1" customHeight="1" x14ac:dyDescent="0.2">
      <c r="A86" s="980"/>
      <c r="B86" s="981" t="s">
        <v>26</v>
      </c>
      <c r="C86" s="2406">
        <v>-1.9</v>
      </c>
      <c r="D86" s="2402"/>
      <c r="E86" s="927"/>
      <c r="F86" s="960"/>
      <c r="G86" s="926"/>
      <c r="H86" s="929"/>
      <c r="I86" s="2421"/>
      <c r="J86" s="1164"/>
      <c r="K86" s="975"/>
      <c r="L86" s="1022"/>
      <c r="M86" s="976"/>
      <c r="N86" s="1164"/>
      <c r="O86" s="1022"/>
      <c r="P86" s="1022"/>
      <c r="Q86" s="976"/>
      <c r="R86" s="1164"/>
      <c r="S86" s="1022"/>
      <c r="T86" s="1022"/>
      <c r="U86" s="976"/>
      <c r="V86" s="1164"/>
      <c r="W86" s="1022"/>
      <c r="X86" s="1022"/>
      <c r="Y86" s="976"/>
      <c r="Z86" s="1164"/>
      <c r="AA86" s="1022"/>
      <c r="AB86" s="1022"/>
      <c r="AC86" s="976"/>
      <c r="AD86" s="1164"/>
      <c r="AE86" s="1022"/>
      <c r="AF86" s="1022"/>
      <c r="AG86" s="976">
        <v>2.1299254526091587E-2</v>
      </c>
      <c r="AH86" s="1164">
        <v>1.7999999999999999E-2</v>
      </c>
      <c r="AI86" s="1022">
        <v>1.9E-2</v>
      </c>
      <c r="AJ86" s="1022">
        <v>0.02</v>
      </c>
      <c r="AK86" s="976">
        <v>0</v>
      </c>
      <c r="AL86" s="1022">
        <v>0</v>
      </c>
      <c r="AM86" s="1022">
        <v>0</v>
      </c>
      <c r="AN86" s="1022">
        <v>0</v>
      </c>
      <c r="AO86" s="976">
        <v>6.2899999999999998E-2</v>
      </c>
      <c r="AP86" s="1164">
        <v>5.0999999999999997E-2</v>
      </c>
      <c r="AQ86" s="1021">
        <v>3.3000000000000002E-2</v>
      </c>
      <c r="AR86" s="1021">
        <v>2.63E-2</v>
      </c>
      <c r="AS86" s="1069">
        <v>2.4E-2</v>
      </c>
      <c r="AT86" s="1065">
        <v>1.7999999999999999E-2</v>
      </c>
      <c r="AU86" s="1070">
        <v>2.1999999999999999E-2</v>
      </c>
      <c r="AV86" s="1070">
        <v>1.9E-2</v>
      </c>
      <c r="AW86" s="1069">
        <v>1.7999999999999999E-2</v>
      </c>
      <c r="AX86" s="1019"/>
      <c r="AY86" s="989"/>
      <c r="AZ86" s="969"/>
      <c r="BA86" s="1117">
        <v>1.6642857142857146</v>
      </c>
      <c r="BB86" s="976" t="s">
        <v>42</v>
      </c>
      <c r="BC86" s="985"/>
      <c r="BD86" s="1119"/>
      <c r="BE86" s="1119"/>
      <c r="BF86" s="1119"/>
      <c r="BG86" s="1119"/>
      <c r="BH86" s="1119"/>
      <c r="BI86" s="1119">
        <v>1.9642857142857146E-2</v>
      </c>
      <c r="BJ86" s="1119">
        <v>3.0000000000000001E-3</v>
      </c>
      <c r="BK86" s="1119">
        <v>2.3E-2</v>
      </c>
      <c r="BL86" s="1119">
        <v>5.0999999999999997E-2</v>
      </c>
      <c r="BM86" s="1119">
        <v>1.6E-2</v>
      </c>
      <c r="BN86" s="1119">
        <v>1.2999999999999999E-2</v>
      </c>
      <c r="BO86" s="1065">
        <v>2.4799999999999999E-2</v>
      </c>
      <c r="BP86" s="1038">
        <v>0</v>
      </c>
    </row>
    <row r="87" spans="1:68" ht="13.5" customHeight="1" x14ac:dyDescent="0.2">
      <c r="A87" s="980"/>
      <c r="B87" s="981" t="s">
        <v>234</v>
      </c>
      <c r="C87" s="2406">
        <v>-54.172240320203116</v>
      </c>
      <c r="D87" s="2402"/>
      <c r="E87" s="927"/>
      <c r="F87" s="926"/>
      <c r="G87" s="926"/>
      <c r="H87" s="926"/>
      <c r="I87" s="2421">
        <v>0</v>
      </c>
      <c r="J87" s="975">
        <v>0</v>
      </c>
      <c r="K87" s="975">
        <v>0</v>
      </c>
      <c r="L87" s="975">
        <v>-5.5850179516660878</v>
      </c>
      <c r="M87" s="1056">
        <v>0.54172240320203113</v>
      </c>
      <c r="N87" s="1168">
        <v>1.0466222446627294</v>
      </c>
      <c r="O87" s="1022">
        <v>-0.29343575608856942</v>
      </c>
      <c r="P87" s="975">
        <v>0.59866277570728732</v>
      </c>
      <c r="Q87" s="1056">
        <v>0.25541325766493195</v>
      </c>
      <c r="R87" s="1168">
        <v>0.19759481084954622</v>
      </c>
      <c r="S87" s="1022">
        <v>0.2986426926810955</v>
      </c>
      <c r="T87" s="975">
        <v>1.5669572035582187</v>
      </c>
      <c r="U87" s="1056">
        <v>0.54776438295306695</v>
      </c>
      <c r="V87" s="1168">
        <v>0.40288085011413427</v>
      </c>
      <c r="W87" s="975">
        <v>0.28880754862629315</v>
      </c>
      <c r="X87" s="975">
        <v>1.7861383112351712</v>
      </c>
      <c r="Y87" s="1056">
        <v>-0.26997507713150198</v>
      </c>
      <c r="Z87" s="1168">
        <v>8.4804203986323081</v>
      </c>
      <c r="AA87" s="975">
        <v>0.92607192639160674</v>
      </c>
      <c r="AB87" s="975">
        <v>-2.4049999999999998</v>
      </c>
      <c r="AC87" s="1056">
        <v>0.59207296758104744</v>
      </c>
      <c r="AD87" s="1168">
        <v>0.19598608382836721</v>
      </c>
      <c r="AE87" s="975">
        <v>0.13588610648188756</v>
      </c>
      <c r="AF87" s="975">
        <v>0.34174946183142907</v>
      </c>
      <c r="AG87" s="1056">
        <v>0.28999125621431376</v>
      </c>
      <c r="AH87" s="1168">
        <v>0.38400000000000001</v>
      </c>
      <c r="AI87" s="975">
        <v>0.189</v>
      </c>
      <c r="AJ87" s="975">
        <v>0.42399999999999999</v>
      </c>
      <c r="AK87" s="1056">
        <v>0</v>
      </c>
      <c r="AL87" s="975">
        <v>0</v>
      </c>
      <c r="AM87" s="975">
        <v>0</v>
      </c>
      <c r="AN87" s="975">
        <v>0</v>
      </c>
      <c r="AO87" s="1056">
        <v>0.436</v>
      </c>
      <c r="AP87" s="1168">
        <v>0.86299999999999999</v>
      </c>
      <c r="AQ87" s="1057">
        <v>0.40799999999999997</v>
      </c>
      <c r="AR87" s="1057">
        <v>0.49199999999999999</v>
      </c>
      <c r="AS87" s="1115">
        <v>0.157</v>
      </c>
      <c r="AT87" s="1114">
        <v>0.185</v>
      </c>
      <c r="AU87" s="1115">
        <v>0.20300000000000001</v>
      </c>
      <c r="AV87" s="1115">
        <v>0.216</v>
      </c>
      <c r="AW87" s="1115">
        <v>0.14799999999999999</v>
      </c>
      <c r="AX87" s="1055"/>
      <c r="AY87" s="2222">
        <v>-0.55405511517003658</v>
      </c>
      <c r="AZ87" s="1057">
        <v>1.0389999999999999</v>
      </c>
      <c r="BA87" s="1117">
        <v>-159.30551151700365</v>
      </c>
      <c r="BB87" s="976"/>
      <c r="BC87" s="985"/>
      <c r="BD87" s="1169">
        <v>-0.55405511517003658</v>
      </c>
      <c r="BE87" s="1169">
        <v>1.0394386155195465</v>
      </c>
      <c r="BF87" s="1169">
        <v>0.36915166153280149</v>
      </c>
      <c r="BG87" s="1169">
        <v>1.4144099438475644</v>
      </c>
      <c r="BH87" s="1169">
        <v>1.6919354406298548</v>
      </c>
      <c r="BI87" s="1169">
        <v>0.19908615785625641</v>
      </c>
      <c r="BJ87" s="1170">
        <v>0.224</v>
      </c>
      <c r="BK87" s="1170" t="s">
        <v>42</v>
      </c>
      <c r="BL87" s="1119">
        <v>0.309</v>
      </c>
      <c r="BM87" s="1065">
        <v>0.185</v>
      </c>
      <c r="BN87" s="1065">
        <v>0.16200000000000001</v>
      </c>
      <c r="BO87" s="1065">
        <v>0.247</v>
      </c>
      <c r="BP87" s="1038">
        <v>0</v>
      </c>
    </row>
    <row r="88" spans="1:68" ht="12.75" hidden="1" customHeight="1" x14ac:dyDescent="0.2">
      <c r="A88" s="980"/>
      <c r="B88" s="981" t="s">
        <v>137</v>
      </c>
      <c r="C88" s="2406">
        <v>-15.200860138677713</v>
      </c>
      <c r="D88" s="2402"/>
      <c r="E88" s="927"/>
      <c r="F88" s="2380"/>
      <c r="G88" s="926"/>
      <c r="H88" s="926"/>
      <c r="I88" s="2421"/>
      <c r="J88" s="2224"/>
      <c r="K88" s="975"/>
      <c r="L88" s="975"/>
      <c r="M88" s="1056"/>
      <c r="N88" s="1164"/>
      <c r="O88" s="1022"/>
      <c r="P88" s="975"/>
      <c r="Q88" s="1056"/>
      <c r="R88" s="1164"/>
      <c r="S88" s="1022"/>
      <c r="T88" s="975"/>
      <c r="U88" s="1056"/>
      <c r="V88" s="1168"/>
      <c r="W88" s="975"/>
      <c r="X88" s="975"/>
      <c r="Y88" s="1056"/>
      <c r="Z88" s="1168"/>
      <c r="AA88" s="975"/>
      <c r="AB88" s="975"/>
      <c r="AC88" s="1056"/>
      <c r="AD88" s="1168"/>
      <c r="AE88" s="975"/>
      <c r="AF88" s="975"/>
      <c r="AG88" s="1056">
        <v>0.10249610679890299</v>
      </c>
      <c r="AH88" s="1168">
        <v>0.11192033795883191</v>
      </c>
      <c r="AI88" s="975">
        <v>0.15200860138677713</v>
      </c>
      <c r="AJ88" s="975">
        <v>6.9191559534010669E-2</v>
      </c>
      <c r="AK88" s="1056">
        <v>9.73921180399141E-2</v>
      </c>
      <c r="AL88" s="975">
        <v>4.177146702872294E-2</v>
      </c>
      <c r="AM88" s="975">
        <v>-0.16696019195523099</v>
      </c>
      <c r="AN88" s="975">
        <v>-0.05</v>
      </c>
      <c r="AO88" s="975">
        <v>0.157</v>
      </c>
      <c r="AP88" s="1168"/>
      <c r="AQ88" s="1057"/>
      <c r="AR88" s="1057"/>
      <c r="AS88" s="1115"/>
      <c r="AT88" s="1114"/>
      <c r="AU88" s="1115"/>
      <c r="AV88" s="1115"/>
      <c r="AW88" s="1115"/>
      <c r="AX88" s="1055"/>
      <c r="AY88" s="969"/>
      <c r="AZ88" s="1123"/>
      <c r="BA88" s="1117"/>
      <c r="BB88" s="976"/>
      <c r="BC88" s="985"/>
      <c r="BD88" s="1170"/>
      <c r="BE88" s="1170"/>
      <c r="BF88" s="1170"/>
      <c r="BG88" s="1170"/>
      <c r="BH88" s="1170"/>
      <c r="BI88" s="1170"/>
      <c r="BJ88" s="1170">
        <v>0.10808038612073342</v>
      </c>
      <c r="BK88" s="1170">
        <v>-3.8814048658628113E-3</v>
      </c>
      <c r="BL88" s="1170">
        <v>0.21749504889431018</v>
      </c>
      <c r="BM88" s="1170">
        <v>0.28319098937761072</v>
      </c>
      <c r="BN88" s="1065" t="e">
        <f>#REF!</f>
        <v>#REF!</v>
      </c>
      <c r="BO88" s="1065"/>
      <c r="BP88" s="1038"/>
    </row>
    <row r="89" spans="1:68" ht="13.5" customHeight="1" x14ac:dyDescent="0.2">
      <c r="A89" s="982"/>
      <c r="B89" s="969" t="s">
        <v>205</v>
      </c>
      <c r="C89" s="2416">
        <v>-78.068376068376068</v>
      </c>
      <c r="D89" s="2401">
        <v>-1.3044844330191374</v>
      </c>
      <c r="E89" s="927"/>
      <c r="F89" s="952"/>
      <c r="G89" s="952"/>
      <c r="H89" s="952"/>
      <c r="I89" s="2432">
        <v>-18.222222222222221</v>
      </c>
      <c r="J89" s="1120">
        <v>-18.22727272727273</v>
      </c>
      <c r="K89" s="1120">
        <v>-46.45454545454546</v>
      </c>
      <c r="L89" s="1120">
        <v>-104.6</v>
      </c>
      <c r="M89" s="1121">
        <v>59.846153846153847</v>
      </c>
      <c r="N89" s="1171">
        <v>28.347826086956523</v>
      </c>
      <c r="O89" s="1123">
        <v>18.162790697674417</v>
      </c>
      <c r="P89" s="1120">
        <v>14.164556962025314</v>
      </c>
      <c r="Q89" s="1121">
        <v>18.907692307692304</v>
      </c>
      <c r="R89" s="1171">
        <v>15.185185185185183</v>
      </c>
      <c r="S89" s="1123">
        <v>16.95121951219512</v>
      </c>
      <c r="T89" s="1120">
        <v>16.170731707317071</v>
      </c>
      <c r="U89" s="1121">
        <v>13.926829268292682</v>
      </c>
      <c r="V89" s="1172">
        <v>56.833333333333336</v>
      </c>
      <c r="W89" s="1123">
        <v>335.00000000000017</v>
      </c>
      <c r="X89" s="1173">
        <v>-141.99999999999997</v>
      </c>
      <c r="Y89" s="1121">
        <v>-45.833333333333329</v>
      </c>
      <c r="Z89" s="1172">
        <v>33.200000000000003</v>
      </c>
      <c r="AA89" s="1123">
        <v>10.684931506849315</v>
      </c>
      <c r="AB89" s="1123">
        <v>8.1623931623931636</v>
      </c>
      <c r="AC89" s="1121">
        <v>9.0218978102189773</v>
      </c>
      <c r="AD89" s="1172">
        <v>10.071942446043165</v>
      </c>
      <c r="AE89" s="1123">
        <v>13.74757281553398</v>
      </c>
      <c r="AF89" s="1123">
        <v>13.826666666666664</v>
      </c>
      <c r="AG89" s="1121">
        <v>13.041666666666668</v>
      </c>
      <c r="AH89" s="1172">
        <v>14.6</v>
      </c>
      <c r="AI89" s="1123">
        <v>16.7</v>
      </c>
      <c r="AJ89" s="1120">
        <v>-13.6</v>
      </c>
      <c r="AK89" s="1121">
        <v>-6</v>
      </c>
      <c r="AL89" s="1123">
        <v>1.1000000000000001</v>
      </c>
      <c r="AM89" s="1123">
        <v>7.1</v>
      </c>
      <c r="AN89" s="1123">
        <v>8.1</v>
      </c>
      <c r="AO89" s="1124">
        <v>7.3</v>
      </c>
      <c r="AP89" s="1174">
        <v>7.3</v>
      </c>
      <c r="AQ89" s="1120">
        <v>7.6119000000000003</v>
      </c>
      <c r="AR89" s="1120">
        <v>8.8691999999999993</v>
      </c>
      <c r="AS89" s="1121">
        <v>9.5</v>
      </c>
      <c r="AT89" s="1125">
        <v>11.4</v>
      </c>
      <c r="AU89" s="1121">
        <v>9.1999999999999993</v>
      </c>
      <c r="AV89" s="1121">
        <v>8.3000000000000007</v>
      </c>
      <c r="AW89" s="1121">
        <v>8.6999999999999993</v>
      </c>
      <c r="AX89" s="1055"/>
      <c r="AY89" s="2216">
        <v>-18.22727272727273</v>
      </c>
      <c r="AZ89" s="1120">
        <v>28.347826086956523</v>
      </c>
      <c r="BA89" s="1122">
        <v>-46.57509881422925</v>
      </c>
      <c r="BB89" s="976">
        <v>-1.6429866146123815</v>
      </c>
      <c r="BC89" s="985"/>
      <c r="BD89" s="1126">
        <v>-18.22727272727273</v>
      </c>
      <c r="BE89" s="1126">
        <v>28.347826086956523</v>
      </c>
      <c r="BF89" s="1126">
        <v>15.185185185185183</v>
      </c>
      <c r="BG89" s="1126">
        <v>56.833333333333336</v>
      </c>
      <c r="BH89" s="1126">
        <v>33.200000000000003</v>
      </c>
      <c r="BI89" s="1126">
        <v>10.071942446043165</v>
      </c>
      <c r="BJ89" s="1126">
        <v>14.6</v>
      </c>
      <c r="BK89" s="1126">
        <v>1.1000000000000001</v>
      </c>
      <c r="BL89" s="1126">
        <v>7.3</v>
      </c>
      <c r="BM89" s="1126">
        <v>11.4</v>
      </c>
      <c r="BN89" s="1126">
        <v>12</v>
      </c>
      <c r="BO89" s="1126">
        <v>9.5273000000000003</v>
      </c>
      <c r="BP89" s="1126">
        <v>0</v>
      </c>
    </row>
    <row r="90" spans="1:68" ht="12.75" customHeight="1" x14ac:dyDescent="0.2">
      <c r="A90" s="986"/>
      <c r="B90" s="964"/>
      <c r="C90" s="983"/>
      <c r="D90" s="984"/>
      <c r="E90" s="928"/>
      <c r="F90" s="953"/>
      <c r="G90" s="954"/>
      <c r="H90" s="954"/>
      <c r="I90" s="2433"/>
      <c r="J90" s="983"/>
      <c r="K90" s="1129"/>
      <c r="L90" s="1129"/>
      <c r="M90" s="984"/>
      <c r="N90" s="983"/>
      <c r="O90" s="1129"/>
      <c r="P90" s="1129"/>
      <c r="Q90" s="984"/>
      <c r="R90" s="983"/>
      <c r="S90" s="1129"/>
      <c r="T90" s="1129"/>
      <c r="U90" s="984"/>
      <c r="V90" s="983"/>
      <c r="W90" s="1129"/>
      <c r="X90" s="1129"/>
      <c r="Y90" s="984"/>
      <c r="Z90" s="983"/>
      <c r="AA90" s="1129"/>
      <c r="AB90" s="1129"/>
      <c r="AC90" s="984"/>
      <c r="AD90" s="983"/>
      <c r="AE90" s="1129"/>
      <c r="AF90" s="1129"/>
      <c r="AG90" s="984"/>
      <c r="AH90" s="983"/>
      <c r="AI90" s="1129"/>
      <c r="AJ90" s="1129"/>
      <c r="AK90" s="984"/>
      <c r="AL90" s="1129"/>
      <c r="AM90" s="1129"/>
      <c r="AN90" s="1129"/>
      <c r="AO90" s="984"/>
      <c r="AP90" s="983"/>
      <c r="AQ90" s="1129"/>
      <c r="AR90" s="1129"/>
      <c r="AS90" s="984"/>
      <c r="AT90" s="1130"/>
      <c r="AU90" s="984"/>
      <c r="AV90" s="984"/>
      <c r="AW90" s="984"/>
      <c r="AX90" s="1019"/>
      <c r="AY90" s="983"/>
      <c r="AZ90" s="1129"/>
      <c r="BA90" s="1175"/>
      <c r="BB90" s="1176"/>
      <c r="BC90" s="985"/>
      <c r="BD90" s="1130"/>
      <c r="BE90" s="1130"/>
      <c r="BF90" s="1130"/>
      <c r="BG90" s="1130"/>
      <c r="BH90" s="1130"/>
      <c r="BI90" s="1130"/>
      <c r="BJ90" s="1130"/>
      <c r="BK90" s="1130"/>
      <c r="BL90" s="1130"/>
      <c r="BM90" s="1130"/>
      <c r="BN90" s="1130"/>
      <c r="BO90" s="1130"/>
      <c r="BP90" s="1130"/>
    </row>
    <row r="91" spans="1:68" x14ac:dyDescent="0.2">
      <c r="A91" s="969" t="s">
        <v>381</v>
      </c>
      <c r="B91" s="964"/>
      <c r="C91" s="989"/>
      <c r="D91" s="989"/>
      <c r="E91" s="930"/>
      <c r="F91" s="930"/>
      <c r="G91" s="930"/>
      <c r="H91" s="930"/>
      <c r="I91" s="930"/>
      <c r="J91" s="989"/>
      <c r="K91" s="989"/>
      <c r="L91" s="989"/>
      <c r="M91" s="989"/>
      <c r="N91" s="989"/>
      <c r="O91" s="989"/>
      <c r="P91" s="989"/>
      <c r="Q91" s="989"/>
      <c r="R91" s="989"/>
      <c r="S91" s="989"/>
      <c r="T91" s="989"/>
      <c r="U91" s="989"/>
      <c r="V91" s="989"/>
      <c r="W91" s="989"/>
      <c r="X91" s="989"/>
      <c r="Y91" s="989"/>
      <c r="Z91" s="989"/>
      <c r="AA91" s="989"/>
      <c r="AB91" s="989"/>
      <c r="AC91" s="989"/>
      <c r="AD91" s="989"/>
      <c r="AE91" s="989"/>
      <c r="AF91" s="989"/>
      <c r="AG91" s="989"/>
      <c r="AH91" s="989"/>
      <c r="AI91" s="989"/>
      <c r="AJ91" s="989"/>
      <c r="AK91" s="989"/>
      <c r="AL91" s="989"/>
      <c r="AM91" s="989"/>
      <c r="AN91" s="989"/>
      <c r="AO91" s="989"/>
      <c r="AP91" s="989"/>
      <c r="AQ91" s="989"/>
      <c r="AR91" s="985"/>
      <c r="AS91" s="985"/>
      <c r="AT91" s="985"/>
      <c r="AU91" s="985"/>
      <c r="AV91" s="985"/>
      <c r="AW91" s="985"/>
      <c r="AX91" s="985"/>
      <c r="AY91" s="985"/>
      <c r="AZ91" s="985"/>
      <c r="BA91" s="985"/>
      <c r="BB91" s="985"/>
      <c r="BC91" s="985"/>
      <c r="BD91" s="985"/>
      <c r="BE91" s="985"/>
      <c r="BF91" s="985"/>
      <c r="BG91" s="985"/>
      <c r="BH91" s="985"/>
      <c r="BI91" s="985"/>
      <c r="BJ91" s="985"/>
      <c r="BK91" s="985"/>
      <c r="BL91" s="985"/>
      <c r="BM91" s="985"/>
      <c r="BN91" s="985"/>
      <c r="BO91" s="985"/>
      <c r="BP91" s="985"/>
    </row>
    <row r="92" spans="1:68" x14ac:dyDescent="0.2">
      <c r="A92" s="989" t="s">
        <v>29</v>
      </c>
      <c r="B92" s="964"/>
      <c r="C92" s="989"/>
      <c r="D92" s="989"/>
      <c r="E92" s="930"/>
      <c r="F92" s="930"/>
      <c r="G92" s="930"/>
      <c r="H92" s="930"/>
      <c r="I92" s="930"/>
      <c r="J92" s="989"/>
      <c r="K92" s="989"/>
      <c r="L92" s="989"/>
      <c r="M92" s="989"/>
      <c r="N92" s="989"/>
      <c r="O92" s="989"/>
      <c r="P92" s="989"/>
      <c r="Q92" s="989"/>
      <c r="R92" s="989"/>
      <c r="S92" s="989"/>
      <c r="T92" s="989"/>
      <c r="U92" s="989"/>
      <c r="V92" s="989"/>
      <c r="W92" s="989"/>
      <c r="X92" s="989"/>
      <c r="Y92" s="989"/>
      <c r="Z92" s="989"/>
      <c r="AA92" s="989"/>
      <c r="AB92" s="989"/>
      <c r="AC92" s="989"/>
      <c r="AD92" s="989"/>
      <c r="AE92" s="989"/>
      <c r="AF92" s="989"/>
      <c r="AG92" s="989"/>
      <c r="AH92" s="989"/>
      <c r="AI92" s="989"/>
      <c r="AJ92" s="989"/>
      <c r="AK92" s="989"/>
      <c r="AL92" s="989"/>
      <c r="AM92" s="989"/>
      <c r="AN92" s="989"/>
      <c r="AO92" s="989"/>
      <c r="AP92" s="964"/>
      <c r="AQ92" s="964"/>
      <c r="BL92" s="1008"/>
      <c r="BM92" s="1008"/>
    </row>
    <row r="93" spans="1:68" ht="9.75" customHeight="1" x14ac:dyDescent="0.2">
      <c r="A93" s="964"/>
      <c r="B93" s="964"/>
      <c r="C93" s="989"/>
      <c r="D93" s="989"/>
      <c r="E93" s="930"/>
      <c r="F93" s="930"/>
      <c r="G93" s="930"/>
      <c r="H93" s="930"/>
      <c r="I93" s="930"/>
      <c r="J93" s="989"/>
      <c r="K93" s="989"/>
      <c r="M93" s="989"/>
      <c r="N93" s="989"/>
      <c r="O93" s="989"/>
      <c r="Q93" s="989"/>
      <c r="R93" s="989"/>
      <c r="S93" s="989"/>
      <c r="T93" s="989"/>
      <c r="U93" s="989"/>
      <c r="V93" s="989"/>
      <c r="W93" s="989"/>
      <c r="X93" s="989"/>
      <c r="Y93" s="989"/>
      <c r="Z93" s="989"/>
      <c r="AA93" s="989"/>
      <c r="AB93" s="989"/>
      <c r="AC93" s="989"/>
      <c r="AD93" s="989"/>
      <c r="AE93" s="989"/>
      <c r="AF93" s="989"/>
      <c r="AG93" s="989"/>
      <c r="AH93" s="989"/>
      <c r="AI93" s="989"/>
      <c r="AJ93" s="989"/>
      <c r="AK93" s="989"/>
      <c r="AL93" s="989"/>
      <c r="AM93" s="989"/>
      <c r="AN93" s="989"/>
      <c r="AO93" s="1137"/>
      <c r="AP93" s="1008"/>
      <c r="AQ93" s="1008"/>
      <c r="AR93" s="1008"/>
      <c r="AS93" s="1008"/>
      <c r="AT93" s="1008"/>
      <c r="AU93" s="1008"/>
      <c r="AV93" s="1008"/>
      <c r="AW93" s="1008"/>
      <c r="AX93" s="964"/>
      <c r="AY93" s="964"/>
      <c r="AZ93" s="964"/>
      <c r="BL93" s="1008"/>
      <c r="BM93" s="1008"/>
    </row>
    <row r="94" spans="1:68" x14ac:dyDescent="0.2">
      <c r="A94" s="969" t="s">
        <v>310</v>
      </c>
      <c r="B94" s="990"/>
      <c r="C94" s="990"/>
      <c r="D94" s="990"/>
      <c r="E94" s="961"/>
      <c r="F94" s="961"/>
      <c r="G94" s="961"/>
      <c r="H94" s="961"/>
      <c r="I94" s="961"/>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1008"/>
      <c r="AP94" s="1008"/>
      <c r="AQ94" s="1008"/>
      <c r="AR94" s="1008"/>
      <c r="AS94" s="1008"/>
      <c r="AT94" s="1008"/>
      <c r="AU94" s="1008"/>
      <c r="AV94" s="1008"/>
      <c r="AW94" s="1008"/>
      <c r="AX94" s="964"/>
      <c r="AY94" s="964"/>
      <c r="AZ94" s="964"/>
      <c r="BL94" s="964"/>
      <c r="BM94" s="964"/>
    </row>
    <row r="95" spans="1:68" x14ac:dyDescent="0.2">
      <c r="A95" s="964"/>
      <c r="B95" s="964"/>
      <c r="C95" s="964"/>
      <c r="D95" s="964"/>
      <c r="L95" s="1071"/>
      <c r="P95" s="1071"/>
      <c r="AO95" s="964"/>
      <c r="AP95" s="964"/>
      <c r="AQ95" s="964"/>
      <c r="AR95" s="964"/>
      <c r="AS95" s="964"/>
      <c r="AT95" s="964"/>
      <c r="AU95" s="964"/>
      <c r="AV95" s="964"/>
      <c r="AW95" s="964"/>
      <c r="AX95" s="964"/>
      <c r="AY95" s="964"/>
      <c r="AZ95" s="964"/>
      <c r="BL95" s="1025"/>
      <c r="BM95" s="1025"/>
    </row>
    <row r="96" spans="1:68" ht="15" x14ac:dyDescent="0.2">
      <c r="A96" s="980"/>
      <c r="B96" s="991"/>
      <c r="L96" s="1151"/>
      <c r="P96" s="1151"/>
      <c r="AO96" s="1025"/>
      <c r="AP96" s="1025"/>
      <c r="AQ96" s="1025"/>
      <c r="AR96" s="1025"/>
      <c r="AS96" s="1025"/>
      <c r="AT96" s="1025"/>
      <c r="AU96" s="1025"/>
      <c r="AV96" s="1025"/>
      <c r="AW96" s="1025"/>
      <c r="AX96" s="964"/>
      <c r="AY96" s="964"/>
      <c r="AZ96" s="964"/>
      <c r="BL96" s="1025"/>
      <c r="BM96" s="1025"/>
    </row>
    <row r="97" spans="10:65" x14ac:dyDescent="0.2">
      <c r="J97" s="1177"/>
      <c r="N97" s="1177"/>
      <c r="R97" s="1177"/>
      <c r="V97" s="1177"/>
      <c r="Z97" s="1177"/>
      <c r="AO97" s="1025"/>
      <c r="AP97" s="1025"/>
      <c r="AQ97" s="1025"/>
      <c r="AR97" s="1025"/>
      <c r="AS97" s="1025"/>
      <c r="AT97" s="1025"/>
      <c r="AU97" s="1025"/>
      <c r="AV97" s="1025"/>
      <c r="AW97" s="1025"/>
      <c r="AX97" s="964"/>
      <c r="AY97" s="964"/>
      <c r="AZ97" s="964"/>
      <c r="BL97" s="1025"/>
      <c r="BM97" s="1025"/>
    </row>
    <row r="98" spans="10:65" x14ac:dyDescent="0.2">
      <c r="J98" s="1177"/>
      <c r="N98" s="1177"/>
      <c r="R98" s="1177"/>
      <c r="V98" s="1177"/>
      <c r="Z98" s="1177"/>
      <c r="AO98" s="1025"/>
      <c r="AP98" s="1025"/>
      <c r="AQ98" s="1025"/>
      <c r="AR98" s="1025"/>
      <c r="AS98" s="1025"/>
      <c r="AT98" s="1025"/>
      <c r="AU98" s="1025"/>
      <c r="AV98" s="1025"/>
      <c r="AW98" s="1025"/>
      <c r="AX98" s="964"/>
      <c r="AY98" s="964"/>
      <c r="AZ98" s="964"/>
      <c r="BL98" s="1025"/>
      <c r="BM98" s="1025"/>
    </row>
    <row r="99" spans="10:65" x14ac:dyDescent="0.2">
      <c r="J99" s="1177"/>
      <c r="L99" s="1120"/>
      <c r="N99" s="1177"/>
      <c r="P99" s="1120"/>
      <c r="R99" s="1177"/>
      <c r="T99" s="1120"/>
      <c r="V99" s="1177"/>
      <c r="Z99" s="1177"/>
      <c r="AO99" s="1025"/>
      <c r="AP99" s="1025"/>
      <c r="AQ99" s="1025"/>
      <c r="AR99" s="1025"/>
      <c r="AS99" s="1025"/>
      <c r="AT99" s="1025"/>
      <c r="AU99" s="1025"/>
      <c r="AV99" s="1025"/>
      <c r="AW99" s="1025"/>
      <c r="AX99" s="964"/>
      <c r="AY99" s="964"/>
      <c r="AZ99" s="964"/>
      <c r="BL99" s="964"/>
      <c r="BM99" s="964"/>
    </row>
    <row r="100" spans="10:65" x14ac:dyDescent="0.2">
      <c r="J100" s="1177"/>
      <c r="N100" s="1177"/>
      <c r="R100" s="1177"/>
      <c r="V100" s="1177"/>
      <c r="Z100" s="1177"/>
      <c r="AO100" s="964"/>
      <c r="AP100" s="964"/>
      <c r="AQ100" s="964"/>
      <c r="AR100" s="964"/>
      <c r="AS100" s="964"/>
      <c r="AT100" s="964"/>
      <c r="AU100" s="964"/>
      <c r="AV100" s="964"/>
      <c r="AW100" s="964"/>
      <c r="AX100" s="964"/>
      <c r="AY100" s="964"/>
      <c r="AZ100" s="964"/>
      <c r="BL100" s="964"/>
      <c r="BM100" s="964"/>
    </row>
    <row r="101" spans="10:65" x14ac:dyDescent="0.2">
      <c r="AO101" s="964"/>
      <c r="AP101" s="964"/>
      <c r="AQ101" s="964"/>
      <c r="AR101" s="964"/>
      <c r="AS101" s="964"/>
      <c r="AT101" s="964"/>
      <c r="AU101" s="964"/>
      <c r="AV101" s="964"/>
      <c r="AW101" s="964"/>
      <c r="AX101" s="964"/>
      <c r="AY101" s="964"/>
      <c r="AZ101" s="964"/>
      <c r="BL101" s="964"/>
      <c r="BM101" s="964"/>
    </row>
    <row r="102" spans="10:65" x14ac:dyDescent="0.2">
      <c r="AO102" s="964"/>
      <c r="AP102" s="964"/>
      <c r="AQ102" s="964"/>
      <c r="AR102" s="964"/>
      <c r="AS102" s="964"/>
      <c r="AT102" s="964"/>
      <c r="AU102" s="964"/>
      <c r="AV102" s="964"/>
      <c r="AW102" s="964"/>
      <c r="AX102" s="964"/>
      <c r="AY102" s="964"/>
      <c r="AZ102" s="964"/>
      <c r="BL102" s="1041"/>
      <c r="BM102" s="1041"/>
    </row>
    <row r="103" spans="10:65" x14ac:dyDescent="0.2">
      <c r="AO103" s="1041"/>
      <c r="AP103" s="1041"/>
      <c r="AQ103" s="1041"/>
      <c r="AR103" s="1041"/>
      <c r="AS103" s="1041"/>
      <c r="AT103" s="1041"/>
      <c r="AU103" s="1041"/>
      <c r="AV103" s="1041"/>
      <c r="AW103" s="969"/>
      <c r="AX103" s="964"/>
      <c r="AY103" s="964"/>
      <c r="AZ103" s="964"/>
      <c r="BL103" s="1041"/>
      <c r="BM103" s="1041"/>
    </row>
    <row r="104" spans="10:65" x14ac:dyDescent="0.2">
      <c r="AO104" s="1041"/>
      <c r="AP104" s="1041"/>
      <c r="AQ104" s="1041"/>
      <c r="AR104" s="1041"/>
      <c r="AS104" s="1041"/>
      <c r="AT104" s="1041"/>
      <c r="AU104" s="1041"/>
      <c r="AV104" s="1041"/>
      <c r="AW104" s="969"/>
      <c r="AX104" s="964"/>
      <c r="AY104" s="964"/>
      <c r="AZ104" s="964"/>
      <c r="BL104" s="1041"/>
      <c r="BM104" s="1041"/>
    </row>
    <row r="105" spans="10:65" x14ac:dyDescent="0.2">
      <c r="AO105" s="1178"/>
      <c r="AP105" s="1178"/>
      <c r="AQ105" s="1178"/>
      <c r="AR105" s="1178"/>
      <c r="AS105" s="1178"/>
      <c r="AT105" s="1178"/>
      <c r="AU105" s="1178"/>
      <c r="AV105" s="1178"/>
      <c r="AW105" s="1178"/>
      <c r="AX105" s="964"/>
      <c r="AY105" s="964"/>
      <c r="AZ105" s="964"/>
      <c r="BL105" s="964"/>
      <c r="BM105" s="964"/>
    </row>
    <row r="106" spans="10:65" x14ac:dyDescent="0.2">
      <c r="AO106" s="964"/>
      <c r="AP106" s="964"/>
      <c r="AQ106" s="964"/>
      <c r="AR106" s="964"/>
      <c r="AS106" s="964"/>
      <c r="AT106" s="964"/>
      <c r="AU106" s="964"/>
      <c r="AV106" s="964"/>
      <c r="AW106" s="964"/>
      <c r="AX106" s="964"/>
      <c r="AY106" s="964"/>
      <c r="AZ106" s="964"/>
      <c r="BL106" s="964"/>
      <c r="BM106" s="964"/>
    </row>
    <row r="107" spans="10:65" x14ac:dyDescent="0.2">
      <c r="AO107" s="964"/>
      <c r="AP107" s="964"/>
      <c r="AQ107" s="964"/>
      <c r="AR107" s="964"/>
      <c r="AS107" s="964"/>
      <c r="AT107" s="964"/>
      <c r="AU107" s="964"/>
      <c r="AV107" s="964"/>
      <c r="AW107" s="964"/>
      <c r="AX107" s="964"/>
      <c r="AY107" s="964"/>
      <c r="AZ107" s="964"/>
      <c r="BL107" s="1034"/>
      <c r="BM107" s="1034"/>
    </row>
    <row r="108" spans="10:65" x14ac:dyDescent="0.2">
      <c r="AO108" s="1041"/>
      <c r="AP108" s="1179"/>
      <c r="AQ108" s="1041"/>
      <c r="AR108" s="1041"/>
      <c r="AS108" s="1041"/>
      <c r="AT108" s="1159"/>
      <c r="AU108" s="1159"/>
      <c r="AV108" s="1097"/>
      <c r="AW108" s="989"/>
      <c r="AX108" s="964"/>
      <c r="AY108" s="964"/>
      <c r="AZ108" s="964"/>
      <c r="BL108" s="1034"/>
      <c r="BM108" s="1034"/>
    </row>
    <row r="109" spans="10:65" x14ac:dyDescent="0.2">
      <c r="AO109" s="1041"/>
      <c r="AP109" s="1041"/>
      <c r="AQ109" s="1041"/>
      <c r="AR109" s="1041"/>
      <c r="AS109" s="1041"/>
      <c r="AT109" s="1092"/>
      <c r="AU109" s="1041"/>
      <c r="AV109" s="1041"/>
      <c r="AW109" s="1041"/>
      <c r="AX109" s="964"/>
      <c r="AY109" s="964"/>
      <c r="AZ109" s="964"/>
      <c r="BL109" s="1116"/>
      <c r="BM109" s="1116"/>
    </row>
    <row r="110" spans="10:65" x14ac:dyDescent="0.2">
      <c r="AO110" s="981"/>
      <c r="AP110" s="1113"/>
      <c r="AQ110" s="1057"/>
      <c r="AR110" s="1057"/>
      <c r="AS110" s="1057"/>
      <c r="AT110" s="1113"/>
      <c r="AU110" s="1057"/>
      <c r="AV110" s="1057"/>
      <c r="AW110" s="1022"/>
      <c r="AX110" s="964"/>
      <c r="AY110" s="964"/>
      <c r="AZ110" s="964"/>
      <c r="BL110" s="1021"/>
      <c r="BM110" s="1021"/>
    </row>
    <row r="111" spans="10:65" x14ac:dyDescent="0.2">
      <c r="AO111" s="981"/>
      <c r="AP111" s="1057"/>
      <c r="AQ111" s="1057"/>
      <c r="AR111" s="1057"/>
      <c r="AS111" s="1057"/>
      <c r="AT111" s="1057"/>
      <c r="AU111" s="1057"/>
      <c r="AV111" s="1057"/>
      <c r="AW111" s="1022"/>
      <c r="AX111" s="964"/>
      <c r="AY111" s="964"/>
      <c r="AZ111" s="964"/>
      <c r="BL111" s="1057"/>
      <c r="BM111" s="1057"/>
    </row>
    <row r="112" spans="10:65" x14ac:dyDescent="0.2">
      <c r="AO112" s="981"/>
      <c r="AP112" s="1057"/>
      <c r="AQ112" s="1057"/>
      <c r="AR112" s="1057"/>
      <c r="AS112" s="1057"/>
      <c r="AT112" s="1057"/>
      <c r="AU112" s="1057"/>
      <c r="AV112" s="1057"/>
      <c r="AW112" s="975"/>
      <c r="AX112" s="964"/>
      <c r="AY112" s="964"/>
      <c r="AZ112" s="964"/>
      <c r="BL112" s="1057"/>
      <c r="BM112" s="1057"/>
    </row>
    <row r="113" spans="41:65" x14ac:dyDescent="0.2">
      <c r="AO113" s="1057"/>
      <c r="AP113" s="1057"/>
      <c r="AQ113" s="1057"/>
      <c r="AR113" s="1057"/>
      <c r="AS113" s="1057"/>
      <c r="AT113" s="1057"/>
      <c r="AU113" s="1057"/>
      <c r="AV113" s="1057"/>
      <c r="AW113" s="1057"/>
      <c r="AX113" s="964"/>
      <c r="AY113" s="964"/>
      <c r="AZ113" s="964"/>
      <c r="BL113" s="1120"/>
      <c r="BM113" s="1120"/>
    </row>
    <row r="114" spans="41:65" x14ac:dyDescent="0.2">
      <c r="AO114" s="1120"/>
      <c r="AP114" s="1120"/>
      <c r="AQ114" s="1120"/>
      <c r="AR114" s="1120"/>
      <c r="AS114" s="1120"/>
      <c r="AT114" s="1120"/>
      <c r="AU114" s="1120"/>
      <c r="AV114" s="1120"/>
      <c r="AW114" s="1120"/>
      <c r="AX114" s="964"/>
      <c r="AY114" s="964"/>
      <c r="AZ114" s="964"/>
      <c r="BL114" s="1120"/>
      <c r="BM114" s="1120"/>
    </row>
    <row r="115" spans="41:65" x14ac:dyDescent="0.2">
      <c r="AO115" s="1120"/>
      <c r="AP115" s="1120"/>
      <c r="AQ115" s="1120"/>
      <c r="AR115" s="1120"/>
      <c r="AS115" s="1120"/>
      <c r="AT115" s="1120"/>
      <c r="AU115" s="1120"/>
      <c r="AV115" s="1120"/>
      <c r="AW115" s="1120"/>
      <c r="AX115" s="964"/>
      <c r="AY115" s="964"/>
      <c r="AZ115" s="964"/>
      <c r="BL115" s="964"/>
      <c r="BM115" s="964"/>
    </row>
    <row r="116" spans="41:65" x14ac:dyDescent="0.2">
      <c r="AO116" s="964"/>
      <c r="AP116" s="964"/>
      <c r="AQ116" s="964"/>
      <c r="AR116" s="964"/>
      <c r="AS116" s="964"/>
      <c r="AT116" s="964"/>
      <c r="AU116" s="964"/>
      <c r="AV116" s="964"/>
      <c r="AW116" s="964"/>
      <c r="AX116" s="964"/>
      <c r="AY116" s="964"/>
      <c r="AZ116" s="964"/>
      <c r="BL116" s="964"/>
      <c r="BM116" s="964"/>
    </row>
    <row r="117" spans="41:65" x14ac:dyDescent="0.2">
      <c r="AO117" s="964"/>
      <c r="AP117" s="964"/>
      <c r="AQ117" s="964"/>
      <c r="AR117" s="964"/>
      <c r="AS117" s="964"/>
      <c r="AT117" s="964"/>
      <c r="AU117" s="964"/>
      <c r="AV117" s="964"/>
      <c r="AW117" s="964"/>
      <c r="AX117" s="964"/>
      <c r="AY117" s="964"/>
      <c r="AZ117" s="964"/>
      <c r="BL117" s="964"/>
      <c r="BM117" s="964"/>
    </row>
    <row r="118" spans="41:65" x14ac:dyDescent="0.2">
      <c r="AO118" s="964"/>
      <c r="AP118" s="964"/>
      <c r="AQ118" s="964"/>
      <c r="AR118" s="964"/>
      <c r="AS118" s="964"/>
      <c r="AT118" s="964"/>
      <c r="AU118" s="964"/>
      <c r="AV118" s="964"/>
      <c r="AW118" s="964"/>
      <c r="AX118" s="964"/>
      <c r="AY118" s="964"/>
      <c r="AZ118" s="964"/>
      <c r="BL118" s="964"/>
      <c r="BM118" s="964"/>
    </row>
    <row r="119" spans="41:65" x14ac:dyDescent="0.2">
      <c r="AO119" s="964"/>
      <c r="AP119" s="964"/>
      <c r="AQ119" s="964"/>
      <c r="AR119" s="964"/>
      <c r="AS119" s="964"/>
      <c r="AT119" s="964"/>
      <c r="AU119" s="964"/>
      <c r="AV119" s="964"/>
      <c r="AW119" s="964"/>
      <c r="AX119" s="964"/>
      <c r="AY119" s="964"/>
      <c r="AZ119" s="964"/>
      <c r="BL119" s="964"/>
      <c r="BM119" s="964"/>
    </row>
    <row r="120" spans="41:65" x14ac:dyDescent="0.2">
      <c r="AO120" s="964"/>
      <c r="AP120" s="964"/>
      <c r="AQ120" s="964"/>
      <c r="AR120" s="964"/>
      <c r="AS120" s="964"/>
      <c r="AT120" s="964"/>
      <c r="AU120" s="964"/>
      <c r="AV120" s="964"/>
      <c r="AW120" s="964"/>
      <c r="AX120" s="964"/>
      <c r="AY120" s="964"/>
      <c r="AZ120" s="964"/>
    </row>
  </sheetData>
  <mergeCells count="6">
    <mergeCell ref="BA10:BB10"/>
    <mergeCell ref="BA69:BB69"/>
    <mergeCell ref="C9:D9"/>
    <mergeCell ref="C10:D10"/>
    <mergeCell ref="C68:D68"/>
    <mergeCell ref="C69:D69"/>
  </mergeCells>
  <phoneticPr fontId="16" type="noConversion"/>
  <conditionalFormatting sqref="A90 A82 A77 A66:A67">
    <cfRule type="cellIs" dxfId="77" priority="1" stopIfTrue="1" operator="equal">
      <formula>0</formula>
    </cfRule>
  </conditionalFormatting>
  <printOptions horizontalCentered="1"/>
  <pageMargins left="0.3" right="0.3" top="0.4" bottom="0.53" header="0" footer="0.3"/>
  <pageSetup scale="49" orientation="landscape" r:id="rId1"/>
  <headerFooter alignWithMargins="0">
    <oddFooter>&amp;L&amp;F&amp;CPage 1</oddFooter>
  </headerFooter>
  <colBreaks count="1" manualBreakCount="1">
    <brk id="6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7"/>
  <sheetViews>
    <sheetView topLeftCell="A22" zoomScale="90" zoomScaleNormal="90" zoomScaleSheetLayoutView="90" workbookViewId="0">
      <pane xSplit="2" topLeftCell="C1" activePane="topRight" state="frozenSplit"/>
      <selection activeCell="H40" sqref="H40"/>
      <selection pane="topRight" activeCell="C55" sqref="C55"/>
    </sheetView>
  </sheetViews>
  <sheetFormatPr defaultRowHeight="12.75" x14ac:dyDescent="0.2"/>
  <cols>
    <col min="1" max="1" width="2.7109375" style="1225" customWidth="1"/>
    <col min="2" max="2" width="50.140625" style="1225" customWidth="1"/>
    <col min="3" max="3" width="11.140625" style="1225" customWidth="1"/>
    <col min="4" max="4" width="9.7109375" style="1225" customWidth="1"/>
    <col min="5" max="5" width="1.5703125" style="1181" customWidth="1"/>
    <col min="6" max="8" width="7" style="1181" hidden="1" customWidth="1"/>
    <col min="9" max="9" width="11.140625" style="1181" customWidth="1"/>
    <col min="10" max="10" width="8.28515625" style="1226" customWidth="1"/>
    <col min="11" max="11" width="9" style="1226" customWidth="1"/>
    <col min="12" max="13" width="9.85546875" style="1226" customWidth="1"/>
    <col min="14" max="14" width="9.7109375" style="1226" customWidth="1"/>
    <col min="15" max="15" width="9" style="1226" customWidth="1"/>
    <col min="16" max="17" width="9.85546875" style="1226" customWidth="1"/>
    <col min="18" max="19" width="9.85546875" style="1226" hidden="1" customWidth="1"/>
    <col min="20" max="23" width="8" style="1226" hidden="1" customWidth="1"/>
    <col min="24" max="24" width="8.28515625" style="1226" hidden="1" customWidth="1"/>
    <col min="25" max="25" width="8.5703125" style="1226" hidden="1" customWidth="1"/>
    <col min="26" max="26" width="8.28515625" style="1226" hidden="1" customWidth="1"/>
    <col min="27" max="27" width="8" style="1226" hidden="1" customWidth="1"/>
    <col min="28" max="28" width="8.5703125" style="1226" hidden="1" customWidth="1"/>
    <col min="29" max="29" width="8" style="1226" hidden="1" customWidth="1"/>
    <col min="30" max="31" width="8.5703125" style="1226" hidden="1" customWidth="1"/>
    <col min="32" max="36" width="8" style="1226" hidden="1" customWidth="1"/>
    <col min="37" max="37" width="22.7109375" style="1226" hidden="1" customWidth="1"/>
    <col min="38" max="38" width="8" style="1226" hidden="1" customWidth="1"/>
    <col min="39" max="39" width="8.28515625" style="1226" hidden="1" customWidth="1"/>
    <col min="40" max="40" width="8" style="1226" hidden="1" customWidth="1"/>
    <col min="41" max="41" width="22.7109375" style="1225" hidden="1" customWidth="1"/>
    <col min="42" max="42" width="8.28515625" style="1225" hidden="1" customWidth="1"/>
    <col min="43" max="49" width="7.85546875" style="1225" hidden="1" customWidth="1"/>
    <col min="50" max="50" width="1.7109375" style="1226" hidden="1" customWidth="1"/>
    <col min="51" max="51" width="10.28515625" style="1225" hidden="1" customWidth="1"/>
    <col min="52" max="52" width="10" style="1225" hidden="1" customWidth="1"/>
    <col min="53" max="53" width="10.42578125" style="1225" hidden="1" customWidth="1"/>
    <col min="54" max="54" width="9.140625" style="1225" hidden="1" customWidth="1"/>
    <col min="55" max="55" width="2.28515625" style="1225" customWidth="1"/>
    <col min="56" max="56" width="10.28515625" style="1225" customWidth="1"/>
    <col min="57" max="60" width="9.7109375" style="1225" customWidth="1"/>
    <col min="61" max="68" width="9.7109375" style="1225" hidden="1" customWidth="1"/>
    <col min="69" max="69" width="1.5703125" style="1225" customWidth="1"/>
    <col min="70" max="70" width="9.140625" style="1225"/>
    <col min="71" max="71" width="25.7109375" style="1180" bestFit="1" customWidth="1"/>
    <col min="72" max="72" width="12.140625" style="1180" bestFit="1" customWidth="1"/>
    <col min="73" max="16384" width="9.140625" style="1180"/>
  </cols>
  <sheetData>
    <row r="1" spans="1:76" ht="5.25" customHeight="1" x14ac:dyDescent="0.2">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1256"/>
      <c r="AQ1" s="1256"/>
      <c r="AR1" s="1256"/>
      <c r="AS1" s="1256"/>
      <c r="AT1" s="1256"/>
      <c r="AU1" s="1256"/>
      <c r="AV1" s="1256"/>
      <c r="AW1" s="1256"/>
      <c r="AX1" s="1256"/>
      <c r="AY1" s="1256"/>
      <c r="AZ1" s="1256"/>
      <c r="BA1" s="1256"/>
      <c r="BB1" s="1256"/>
      <c r="BC1" s="1256"/>
      <c r="BD1" s="1256"/>
      <c r="BE1" s="1256"/>
      <c r="BF1" s="1256"/>
      <c r="BG1" s="1256"/>
      <c r="BH1" s="1256"/>
      <c r="BI1" s="1256"/>
      <c r="BJ1" s="1256"/>
      <c r="BK1" s="1256"/>
      <c r="BL1" s="1256"/>
      <c r="BM1" s="1256"/>
      <c r="BN1" s="1256"/>
      <c r="BO1" s="1256" t="e">
        <f>BO14-'7 Canada'!AZ69-#REF!-'9 US'!AZ64</f>
        <v>#REF!</v>
      </c>
      <c r="BP1" s="1256" t="e">
        <f>BP14-'7 Canada'!BA69-#REF!-'9 US'!BA64</f>
        <v>#REF!</v>
      </c>
    </row>
    <row r="2" spans="1:76" x14ac:dyDescent="0.2">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t="e">
        <f>BO15-'7 Canada'!AZ70-#REF!-'9 US'!AZ65</f>
        <v>#REF!</v>
      </c>
      <c r="BP2" s="1256" t="e">
        <f>BP15-'7 Canada'!BA70-#REF!-'9 US'!BA65</f>
        <v>#REF!</v>
      </c>
    </row>
    <row r="3" spans="1:76" x14ac:dyDescent="0.2">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256"/>
      <c r="AJ3" s="1256"/>
      <c r="AK3" s="1256"/>
      <c r="AL3" s="1256"/>
      <c r="AM3" s="1256"/>
      <c r="AN3" s="1256"/>
      <c r="AO3" s="1256"/>
      <c r="AP3" s="1256"/>
      <c r="AQ3" s="1256"/>
      <c r="AR3" s="1256"/>
      <c r="AS3" s="1256"/>
      <c r="AT3" s="1256"/>
      <c r="AU3" s="1256"/>
      <c r="AV3" s="1256"/>
      <c r="AW3" s="1256"/>
      <c r="AX3" s="1256"/>
      <c r="AY3" s="1256"/>
      <c r="AZ3" s="1256"/>
      <c r="BA3" s="1256"/>
      <c r="BB3" s="1256"/>
      <c r="BC3" s="1256"/>
      <c r="BD3" s="1256"/>
      <c r="BE3" s="1256"/>
      <c r="BF3" s="1256"/>
      <c r="BG3" s="1256"/>
      <c r="BH3" s="1256"/>
      <c r="BI3" s="1256"/>
      <c r="BJ3" s="1256"/>
      <c r="BK3" s="1256"/>
      <c r="BL3" s="1256"/>
      <c r="BM3" s="1256"/>
      <c r="BN3" s="1256"/>
      <c r="BO3" s="1256" t="e">
        <f>BO16-'7 Canada'!AZ71-#REF!-'9 US'!AZ66</f>
        <v>#REF!</v>
      </c>
      <c r="BP3" s="1256" t="e">
        <f>BP16-'7 Canada'!BA71-#REF!-'9 US'!BA66</f>
        <v>#REF!</v>
      </c>
    </row>
    <row r="4" spans="1:76" x14ac:dyDescent="0.2">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t="e">
        <f>BO17-'7 Canada'!AZ72-#REF!-'9 US'!AZ67</f>
        <v>#REF!</v>
      </c>
      <c r="BP4" s="1256" t="e">
        <f>BP17-'7 Canada'!BA72-#REF!-'9 US'!BA67</f>
        <v>#REF!</v>
      </c>
    </row>
    <row r="5" spans="1:76" ht="5.25" customHeight="1" x14ac:dyDescent="0.2">
      <c r="A5" s="1226"/>
      <c r="B5" s="1226"/>
      <c r="C5" s="1226"/>
      <c r="D5" s="1226"/>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c r="AM5" s="1257"/>
      <c r="AN5" s="1257"/>
      <c r="AO5" s="1257"/>
      <c r="AP5" s="1257"/>
      <c r="AQ5" s="1257"/>
      <c r="AR5" s="1257"/>
      <c r="AS5" s="1257"/>
      <c r="AT5" s="1257"/>
      <c r="AU5" s="1257"/>
      <c r="AV5" s="1257"/>
      <c r="AW5" s="1257"/>
      <c r="AX5" s="1257"/>
      <c r="AY5" s="1257"/>
      <c r="AZ5" s="1257"/>
      <c r="BA5" s="1256"/>
      <c r="BB5" s="1256"/>
      <c r="BC5" s="1256"/>
      <c r="BD5" s="1256"/>
      <c r="BE5" s="1256"/>
      <c r="BF5" s="1256"/>
      <c r="BG5" s="1256"/>
      <c r="BH5" s="1256"/>
      <c r="BI5" s="1256"/>
      <c r="BJ5" s="1256"/>
      <c r="BK5" s="1256"/>
      <c r="BL5" s="1256"/>
      <c r="BM5" s="1256"/>
      <c r="BN5" s="1256"/>
      <c r="BO5" s="1256" t="e">
        <f>BO18-'7 Canada'!AZ73-#REF!-'9 US'!AZ68</f>
        <v>#REF!</v>
      </c>
      <c r="BP5" s="1256" t="e">
        <f>BP18-'7 Canada'!BA73-#REF!-'9 US'!BA68</f>
        <v>#REF!</v>
      </c>
    </row>
    <row r="6" spans="1:76" ht="18" customHeight="1" x14ac:dyDescent="0.2">
      <c r="A6" s="1227" t="s">
        <v>392</v>
      </c>
      <c r="B6" s="1226"/>
      <c r="C6" s="1025"/>
      <c r="D6" s="975"/>
      <c r="J6" s="1257"/>
      <c r="K6" s="1257"/>
      <c r="L6" s="1257"/>
      <c r="M6" s="1258"/>
      <c r="N6" s="1257"/>
      <c r="O6" s="1257"/>
      <c r="P6" s="1257"/>
      <c r="Q6" s="1258"/>
      <c r="R6" s="1257"/>
      <c r="S6" s="1257"/>
      <c r="T6" s="1257"/>
      <c r="U6" s="1258"/>
      <c r="V6" s="1258"/>
      <c r="W6" s="1258"/>
      <c r="X6" s="1258"/>
      <c r="Y6" s="1258"/>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6"/>
      <c r="BB6" s="1256"/>
      <c r="BC6" s="1256"/>
      <c r="BD6" s="1256"/>
      <c r="BE6" s="1259"/>
      <c r="BF6" s="1259"/>
      <c r="BG6" s="1259"/>
      <c r="BH6" s="1259"/>
      <c r="BI6" s="1256"/>
      <c r="BJ6" s="1256"/>
      <c r="BK6" s="1256"/>
      <c r="BL6" s="1256"/>
      <c r="BM6" s="1256"/>
      <c r="BN6" s="1256"/>
      <c r="BO6" s="1256" t="e">
        <f>BO19-'7 Canada'!AZ74-#REF!-'9 US'!AZ69</f>
        <v>#REF!</v>
      </c>
      <c r="BP6" s="1256" t="e">
        <f>BP19-'7 Canada'!BA74-#REF!-'9 US'!BA69</f>
        <v>#REF!</v>
      </c>
    </row>
    <row r="7" spans="1:76" ht="18" customHeight="1" x14ac:dyDescent="0.2">
      <c r="A7" s="1228" t="s">
        <v>406</v>
      </c>
      <c r="B7" s="966"/>
      <c r="C7" s="966"/>
      <c r="D7" s="966"/>
      <c r="E7" s="917"/>
      <c r="F7" s="917"/>
      <c r="G7" s="917"/>
      <c r="H7" s="917"/>
      <c r="I7" s="2393"/>
      <c r="J7" s="1259"/>
      <c r="K7" s="1259"/>
      <c r="L7" s="1259"/>
      <c r="M7" s="1259"/>
      <c r="N7" s="1259"/>
      <c r="O7" s="1259"/>
      <c r="P7" s="1259"/>
      <c r="Q7" s="1259"/>
      <c r="R7" s="1259"/>
      <c r="S7" s="1259"/>
      <c r="T7" s="1259"/>
      <c r="U7" s="1259"/>
      <c r="V7" s="1257"/>
      <c r="W7" s="1257"/>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6"/>
      <c r="BB7" s="1256"/>
      <c r="BC7" s="1256"/>
      <c r="BD7" s="1256"/>
      <c r="BE7" s="1259"/>
      <c r="BF7" s="1259"/>
      <c r="BG7" s="1259"/>
      <c r="BH7" s="1259"/>
      <c r="BI7" s="1256"/>
      <c r="BJ7" s="1256"/>
      <c r="BK7" s="1256"/>
      <c r="BL7" s="1256"/>
      <c r="BM7" s="1256"/>
      <c r="BN7" s="1256"/>
      <c r="BO7" s="1256" t="e">
        <f>BO2-BO6</f>
        <v>#REF!</v>
      </c>
      <c r="BP7" s="1256" t="e">
        <f>BP2-BP6</f>
        <v>#REF!</v>
      </c>
    </row>
    <row r="8" spans="1:76" ht="15" customHeight="1" x14ac:dyDescent="0.2">
      <c r="A8" s="967" t="s">
        <v>264</v>
      </c>
      <c r="B8" s="966"/>
      <c r="C8" s="966"/>
      <c r="D8" s="966"/>
      <c r="E8" s="917"/>
      <c r="F8" s="917"/>
      <c r="G8" s="917"/>
      <c r="H8" s="917"/>
      <c r="I8" s="917"/>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1256"/>
      <c r="AM8" s="1256"/>
      <c r="AN8" s="1256"/>
      <c r="AO8" s="1256"/>
      <c r="AP8" s="1256"/>
      <c r="AQ8" s="1256"/>
      <c r="AR8" s="1256"/>
      <c r="AS8" s="1256"/>
      <c r="AT8" s="1256"/>
      <c r="AU8" s="1256"/>
      <c r="AV8" s="1256"/>
      <c r="AW8" s="1256"/>
      <c r="AX8" s="1256"/>
      <c r="AY8" s="1256"/>
      <c r="AZ8" s="1256"/>
      <c r="BA8" s="1256"/>
      <c r="BB8" s="1256"/>
      <c r="BC8" s="1256"/>
      <c r="BD8" s="1256"/>
      <c r="BE8" s="1256"/>
      <c r="BF8" s="1256"/>
      <c r="BG8" s="1256"/>
      <c r="BH8" s="1256"/>
      <c r="BI8" s="1256"/>
      <c r="BJ8" s="1256"/>
      <c r="BK8" s="1256"/>
      <c r="BL8" s="1256"/>
      <c r="BM8" s="1256"/>
      <c r="BN8" s="1256"/>
      <c r="BO8" s="1256"/>
      <c r="BP8" s="1256"/>
    </row>
    <row r="9" spans="1:76" ht="9.75" customHeight="1" x14ac:dyDescent="0.2">
      <c r="C9" s="964"/>
      <c r="D9" s="964"/>
      <c r="E9" s="915"/>
      <c r="F9" s="915"/>
      <c r="G9" s="915"/>
      <c r="H9" s="915"/>
      <c r="I9" s="915"/>
      <c r="J9" s="964"/>
      <c r="K9" s="964"/>
      <c r="L9" s="964"/>
      <c r="M9" s="964"/>
      <c r="N9" s="964"/>
      <c r="O9" s="964"/>
      <c r="P9" s="964"/>
      <c r="Q9" s="964"/>
      <c r="R9" s="964"/>
      <c r="S9" s="964"/>
      <c r="T9" s="964"/>
      <c r="U9" s="964"/>
      <c r="V9" s="964"/>
      <c r="W9" s="964"/>
      <c r="X9" s="964"/>
      <c r="Y9" s="964"/>
      <c r="Z9" s="999"/>
      <c r="AA9" s="964"/>
      <c r="AB9" s="964"/>
      <c r="AC9" s="964"/>
      <c r="AD9" s="999"/>
      <c r="AE9" s="964"/>
      <c r="AF9" s="964"/>
      <c r="AG9" s="964"/>
      <c r="AH9" s="999"/>
      <c r="AI9" s="964"/>
      <c r="AJ9" s="999"/>
      <c r="AK9" s="964"/>
      <c r="AL9" s="999"/>
      <c r="AM9" s="964"/>
      <c r="AN9" s="964"/>
      <c r="AO9" s="1226"/>
      <c r="AP9" s="1226"/>
      <c r="AQ9" s="1226"/>
      <c r="BA9" s="1260"/>
      <c r="BB9" s="1260"/>
    </row>
    <row r="10" spans="1:76" x14ac:dyDescent="0.2">
      <c r="A10" s="968" t="s">
        <v>1</v>
      </c>
      <c r="B10" s="969"/>
      <c r="C10" s="2455" t="s">
        <v>456</v>
      </c>
      <c r="D10" s="2456"/>
      <c r="E10" s="919"/>
      <c r="F10" s="921"/>
      <c r="G10" s="921"/>
      <c r="H10" s="921"/>
      <c r="I10" s="2280"/>
      <c r="J10" s="1000"/>
      <c r="K10" s="1000"/>
      <c r="L10" s="1000"/>
      <c r="M10" s="1261"/>
      <c r="N10" s="1000"/>
      <c r="O10" s="1000"/>
      <c r="P10" s="1000"/>
      <c r="Q10" s="1261"/>
      <c r="R10" s="1000"/>
      <c r="S10" s="1000"/>
      <c r="T10" s="1000"/>
      <c r="U10" s="1261"/>
      <c r="V10" s="1000"/>
      <c r="W10" s="1000"/>
      <c r="X10" s="1000"/>
      <c r="Y10" s="1261"/>
      <c r="Z10" s="1262"/>
      <c r="AA10" s="1263"/>
      <c r="AB10" s="1000"/>
      <c r="AC10" s="1261"/>
      <c r="AD10" s="1262"/>
      <c r="AE10" s="1263"/>
      <c r="AF10" s="1000"/>
      <c r="AG10" s="1261"/>
      <c r="AI10" s="1263"/>
      <c r="AJ10" s="964"/>
      <c r="AK10" s="1261"/>
      <c r="AL10" s="1263"/>
      <c r="AN10" s="1000"/>
      <c r="AO10" s="1261"/>
      <c r="AP10" s="1263"/>
      <c r="AQ10" s="1263"/>
      <c r="AR10" s="1263"/>
      <c r="AS10" s="1263"/>
      <c r="AT10" s="1264"/>
      <c r="AU10" s="1261"/>
      <c r="AV10" s="1261"/>
      <c r="AW10" s="1261"/>
      <c r="AX10" s="1265"/>
      <c r="AY10" s="1006" t="s">
        <v>448</v>
      </c>
      <c r="AZ10" s="1006"/>
      <c r="BA10" s="1006" t="s">
        <v>441</v>
      </c>
      <c r="BB10" s="1007"/>
      <c r="BC10" s="1008"/>
      <c r="BD10" s="1009"/>
      <c r="BE10" s="1009"/>
      <c r="BF10" s="1009"/>
      <c r="BG10" s="1009"/>
      <c r="BH10" s="1009"/>
      <c r="BI10" s="1009"/>
      <c r="BJ10" s="1009"/>
      <c r="BK10" s="1009"/>
      <c r="BL10" s="1262"/>
      <c r="BM10" s="1264"/>
      <c r="BN10" s="1009"/>
      <c r="BO10" s="2279"/>
      <c r="BP10" s="1264"/>
      <c r="BQ10" s="1266"/>
    </row>
    <row r="11" spans="1:76" ht="13.5" x14ac:dyDescent="0.2">
      <c r="A11" s="968" t="s">
        <v>2</v>
      </c>
      <c r="B11" s="969"/>
      <c r="C11" s="2457" t="s">
        <v>39</v>
      </c>
      <c r="D11" s="2458"/>
      <c r="E11" s="924"/>
      <c r="F11" s="925" t="s">
        <v>452</v>
      </c>
      <c r="G11" s="925" t="s">
        <v>453</v>
      </c>
      <c r="H11" s="925" t="s">
        <v>454</v>
      </c>
      <c r="I11" s="2281" t="s">
        <v>455</v>
      </c>
      <c r="J11" s="1010" t="s">
        <v>399</v>
      </c>
      <c r="K11" s="1010" t="s">
        <v>398</v>
      </c>
      <c r="L11" s="1010" t="s">
        <v>397</v>
      </c>
      <c r="M11" s="1011" t="s">
        <v>395</v>
      </c>
      <c r="N11" s="1010" t="s">
        <v>373</v>
      </c>
      <c r="O11" s="1010" t="s">
        <v>374</v>
      </c>
      <c r="P11" s="1010" t="s">
        <v>375</v>
      </c>
      <c r="Q11" s="1011" t="s">
        <v>376</v>
      </c>
      <c r="R11" s="1010" t="s">
        <v>330</v>
      </c>
      <c r="S11" s="1010" t="s">
        <v>329</v>
      </c>
      <c r="T11" s="1010" t="s">
        <v>328</v>
      </c>
      <c r="U11" s="1011" t="s">
        <v>326</v>
      </c>
      <c r="V11" s="1010" t="s">
        <v>282</v>
      </c>
      <c r="W11" s="1010" t="s">
        <v>283</v>
      </c>
      <c r="X11" s="1010" t="s">
        <v>284</v>
      </c>
      <c r="Y11" s="1011" t="s">
        <v>285</v>
      </c>
      <c r="Z11" s="1012" t="s">
        <v>220</v>
      </c>
      <c r="AA11" s="1010" t="s">
        <v>221</v>
      </c>
      <c r="AB11" s="1010" t="s">
        <v>222</v>
      </c>
      <c r="AC11" s="1011" t="s">
        <v>219</v>
      </c>
      <c r="AD11" s="1012" t="s">
        <v>185</v>
      </c>
      <c r="AE11" s="1010" t="s">
        <v>186</v>
      </c>
      <c r="AF11" s="1010" t="s">
        <v>187</v>
      </c>
      <c r="AG11" s="1011" t="s">
        <v>188</v>
      </c>
      <c r="AH11" s="1010" t="s">
        <v>118</v>
      </c>
      <c r="AI11" s="1010" t="s">
        <v>117</v>
      </c>
      <c r="AJ11" s="1010" t="s">
        <v>116</v>
      </c>
      <c r="AK11" s="1011" t="s">
        <v>115</v>
      </c>
      <c r="AL11" s="1010" t="s">
        <v>83</v>
      </c>
      <c r="AM11" s="1010" t="s">
        <v>84</v>
      </c>
      <c r="AN11" s="1010" t="s">
        <v>85</v>
      </c>
      <c r="AO11" s="1011" t="s">
        <v>30</v>
      </c>
      <c r="AP11" s="1010" t="s">
        <v>31</v>
      </c>
      <c r="AQ11" s="1010" t="s">
        <v>32</v>
      </c>
      <c r="AR11" s="1010" t="s">
        <v>33</v>
      </c>
      <c r="AS11" s="1010" t="s">
        <v>34</v>
      </c>
      <c r="AT11" s="1013" t="s">
        <v>35</v>
      </c>
      <c r="AU11" s="1011" t="s">
        <v>36</v>
      </c>
      <c r="AV11" s="1011" t="s">
        <v>37</v>
      </c>
      <c r="AW11" s="1011" t="s">
        <v>38</v>
      </c>
      <c r="AX11" s="1014"/>
      <c r="AY11" s="1010" t="s">
        <v>399</v>
      </c>
      <c r="AZ11" s="1010" t="s">
        <v>373</v>
      </c>
      <c r="BA11" s="2453" t="s">
        <v>39</v>
      </c>
      <c r="BB11" s="2454"/>
      <c r="BC11" s="1015"/>
      <c r="BD11" s="1012" t="s">
        <v>438</v>
      </c>
      <c r="BE11" s="1012" t="s">
        <v>385</v>
      </c>
      <c r="BF11" s="1012" t="s">
        <v>332</v>
      </c>
      <c r="BG11" s="1012" t="s">
        <v>287</v>
      </c>
      <c r="BH11" s="1012" t="s">
        <v>224</v>
      </c>
      <c r="BI11" s="1012" t="s">
        <v>120</v>
      </c>
      <c r="BJ11" s="1012" t="s">
        <v>119</v>
      </c>
      <c r="BK11" s="1012" t="s">
        <v>43</v>
      </c>
      <c r="BL11" s="1012" t="s">
        <v>40</v>
      </c>
      <c r="BM11" s="1013" t="s">
        <v>41</v>
      </c>
      <c r="BN11" s="1013" t="s">
        <v>138</v>
      </c>
      <c r="BO11" s="1013" t="s">
        <v>139</v>
      </c>
      <c r="BP11" s="1267" t="s">
        <v>140</v>
      </c>
      <c r="BQ11" s="1266"/>
      <c r="BR11" s="1226"/>
      <c r="BS11" s="1181"/>
      <c r="BT11" s="1181"/>
      <c r="BU11" s="1181"/>
      <c r="BV11" s="1181"/>
      <c r="BW11" s="1181"/>
      <c r="BX11" s="1181"/>
    </row>
    <row r="12" spans="1:76" s="1181" customFormat="1" x14ac:dyDescent="0.2">
      <c r="A12" s="968"/>
      <c r="B12" s="969"/>
      <c r="C12" s="2277"/>
      <c r="D12" s="1229"/>
      <c r="E12" s="924"/>
      <c r="F12" s="1186"/>
      <c r="G12" s="1186"/>
      <c r="H12" s="1186"/>
      <c r="I12" s="2282"/>
      <c r="J12" s="1268"/>
      <c r="K12" s="1268"/>
      <c r="L12" s="1268"/>
      <c r="M12" s="1269"/>
      <c r="N12" s="1268"/>
      <c r="O12" s="1268"/>
      <c r="P12" s="1268"/>
      <c r="Q12" s="1269"/>
      <c r="R12" s="1268"/>
      <c r="S12" s="1268"/>
      <c r="T12" s="1268"/>
      <c r="U12" s="1269"/>
      <c r="V12" s="1268"/>
      <c r="W12" s="1268"/>
      <c r="X12" s="1268"/>
      <c r="Y12" s="1269"/>
      <c r="Z12" s="1270"/>
      <c r="AA12" s="1268"/>
      <c r="AB12" s="1268"/>
      <c r="AC12" s="1269"/>
      <c r="AD12" s="1270"/>
      <c r="AE12" s="1268"/>
      <c r="AF12" s="1268"/>
      <c r="AG12" s="1269"/>
      <c r="AH12" s="1270"/>
      <c r="AI12" s="1268"/>
      <c r="AJ12" s="1268"/>
      <c r="AK12" s="1269"/>
      <c r="AL12" s="1008"/>
      <c r="AM12" s="1008"/>
      <c r="AN12" s="1008"/>
      <c r="AO12" s="1271"/>
      <c r="AP12" s="1008"/>
      <c r="AQ12" s="1008"/>
      <c r="AR12" s="1008"/>
      <c r="AS12" s="1008"/>
      <c r="AT12" s="1014"/>
      <c r="AU12" s="1271"/>
      <c r="AV12" s="1271"/>
      <c r="AW12" s="1271"/>
      <c r="AX12" s="1014"/>
      <c r="AY12" s="1268"/>
      <c r="AZ12" s="1268"/>
      <c r="BA12" s="1263"/>
      <c r="BB12" s="1261"/>
      <c r="BC12" s="1015"/>
      <c r="BD12" s="1270"/>
      <c r="BE12" s="1270"/>
      <c r="BF12" s="1270"/>
      <c r="BG12" s="1270"/>
      <c r="BH12" s="1270"/>
      <c r="BI12" s="1270"/>
      <c r="BJ12" s="1270"/>
      <c r="BK12" s="1270"/>
      <c r="BL12" s="1270"/>
      <c r="BM12" s="1272"/>
      <c r="BN12" s="1014"/>
      <c r="BO12" s="1014"/>
      <c r="BP12" s="1273"/>
      <c r="BQ12" s="1266"/>
      <c r="BR12" s="1226"/>
    </row>
    <row r="13" spans="1:76" ht="12.75" customHeight="1" x14ac:dyDescent="0.2">
      <c r="A13" s="970" t="s">
        <v>61</v>
      </c>
      <c r="B13" s="971"/>
      <c r="C13" s="1230"/>
      <c r="D13" s="1228"/>
      <c r="E13" s="1187"/>
      <c r="F13" s="1188"/>
      <c r="G13" s="1188"/>
      <c r="H13" s="1188"/>
      <c r="I13" s="1183"/>
      <c r="J13" s="1251"/>
      <c r="K13" s="1251"/>
      <c r="L13" s="1251"/>
      <c r="M13" s="1228"/>
      <c r="N13" s="1251"/>
      <c r="O13" s="1251"/>
      <c r="P13" s="1251"/>
      <c r="Q13" s="1228"/>
      <c r="R13" s="1251"/>
      <c r="S13" s="1251"/>
      <c r="T13" s="1251"/>
      <c r="U13" s="1228"/>
      <c r="V13" s="1251"/>
      <c r="W13" s="1251"/>
      <c r="X13" s="1251"/>
      <c r="Y13" s="1228"/>
      <c r="Z13" s="1251"/>
      <c r="AA13" s="1251"/>
      <c r="AB13" s="1251"/>
      <c r="AC13" s="1228"/>
      <c r="AD13" s="1251"/>
      <c r="AE13" s="1251"/>
      <c r="AF13" s="1251"/>
      <c r="AG13" s="1228"/>
      <c r="AH13" s="1251"/>
      <c r="AI13" s="1251"/>
      <c r="AJ13" s="1251"/>
      <c r="AK13" s="1228"/>
      <c r="AL13" s="1251"/>
      <c r="AM13" s="1251"/>
      <c r="AN13" s="1251"/>
      <c r="AO13" s="1228"/>
      <c r="AP13" s="1251"/>
      <c r="AQ13" s="1251"/>
      <c r="AR13" s="1251"/>
      <c r="AS13" s="1228"/>
      <c r="AT13" s="1274"/>
      <c r="AU13" s="1228"/>
      <c r="AV13" s="1228"/>
      <c r="AW13" s="1228"/>
      <c r="AX13" s="1274"/>
      <c r="AY13" s="1251"/>
      <c r="AZ13" s="1251"/>
      <c r="BA13" s="1251"/>
      <c r="BB13" s="1228"/>
      <c r="BC13" s="1235"/>
      <c r="BD13" s="1274"/>
      <c r="BE13" s="1274"/>
      <c r="BF13" s="1274"/>
      <c r="BG13" s="1274"/>
      <c r="BH13" s="1274"/>
      <c r="BI13" s="1274"/>
      <c r="BJ13" s="1274"/>
      <c r="BK13" s="1274"/>
      <c r="BL13" s="1230"/>
      <c r="BM13" s="1274"/>
      <c r="BN13" s="1055"/>
      <c r="BO13" s="1055"/>
      <c r="BP13" s="1055"/>
      <c r="BQ13" s="1266"/>
    </row>
    <row r="14" spans="1:76" ht="12.75" customHeight="1" x14ac:dyDescent="0.2">
      <c r="A14" s="969"/>
      <c r="B14" s="969" t="s">
        <v>312</v>
      </c>
      <c r="C14" s="979">
        <v>-1834</v>
      </c>
      <c r="D14" s="1056">
        <v>-1.9365193335163559E-2</v>
      </c>
      <c r="E14" s="937"/>
      <c r="F14" s="1190"/>
      <c r="G14" s="1190"/>
      <c r="H14" s="1190"/>
      <c r="I14" s="2283">
        <v>92872</v>
      </c>
      <c r="J14" s="1275">
        <v>97915</v>
      </c>
      <c r="K14" s="1275">
        <v>95014</v>
      </c>
      <c r="L14" s="1275">
        <v>89182</v>
      </c>
      <c r="M14" s="1276">
        <v>94706</v>
      </c>
      <c r="N14" s="1275">
        <v>100869</v>
      </c>
      <c r="O14" s="1275">
        <v>92123</v>
      </c>
      <c r="P14" s="1275">
        <v>86240</v>
      </c>
      <c r="Q14" s="1276">
        <v>94826</v>
      </c>
      <c r="R14" s="1275">
        <v>102199</v>
      </c>
      <c r="S14" s="1275">
        <v>87581</v>
      </c>
      <c r="T14" s="1275">
        <v>81832</v>
      </c>
      <c r="U14" s="1276">
        <v>90035</v>
      </c>
      <c r="V14" s="1275">
        <v>87438</v>
      </c>
      <c r="W14" s="1275">
        <v>89415</v>
      </c>
      <c r="X14" s="1275">
        <v>87525</v>
      </c>
      <c r="Y14" s="1276">
        <v>88747</v>
      </c>
      <c r="Z14" s="1275">
        <v>74170</v>
      </c>
      <c r="AA14" s="1275">
        <v>57380</v>
      </c>
      <c r="AB14" s="1275">
        <v>60299</v>
      </c>
      <c r="AC14" s="1276">
        <v>61028</v>
      </c>
      <c r="AD14" s="1275">
        <v>81959</v>
      </c>
      <c r="AE14" s="1275">
        <v>87433</v>
      </c>
      <c r="AF14" s="1275">
        <v>63002</v>
      </c>
      <c r="AG14" s="1276">
        <v>62256</v>
      </c>
      <c r="AH14" s="1275">
        <v>62826</v>
      </c>
      <c r="AI14" s="1275">
        <v>60696</v>
      </c>
      <c r="AJ14" s="1275">
        <v>56628</v>
      </c>
      <c r="AK14" s="1276">
        <v>55456</v>
      </c>
      <c r="AL14" s="1275">
        <v>49005</v>
      </c>
      <c r="AM14" s="1275">
        <v>51473</v>
      </c>
      <c r="AN14" s="1275">
        <v>60630</v>
      </c>
      <c r="AO14" s="1276">
        <v>71996</v>
      </c>
      <c r="AP14" s="1277">
        <v>69585</v>
      </c>
      <c r="AQ14" s="1277">
        <v>74959</v>
      </c>
      <c r="AR14" s="1277">
        <v>65728</v>
      </c>
      <c r="AS14" s="1278">
        <v>85775</v>
      </c>
      <c r="AT14" s="1279">
        <v>87682</v>
      </c>
      <c r="AU14" s="1278">
        <v>74380</v>
      </c>
      <c r="AV14" s="1278">
        <v>63556</v>
      </c>
      <c r="AW14" s="1278">
        <v>78054</v>
      </c>
      <c r="AX14" s="1274"/>
      <c r="AY14" s="1280">
        <v>376817</v>
      </c>
      <c r="AZ14" s="1280">
        <v>374058</v>
      </c>
      <c r="BA14" s="1281">
        <v>2759</v>
      </c>
      <c r="BB14" s="1056">
        <v>7.3758614974148394E-3</v>
      </c>
      <c r="BC14" s="1235"/>
      <c r="BD14" s="1018">
        <v>376817</v>
      </c>
      <c r="BE14" s="1018">
        <v>374058</v>
      </c>
      <c r="BF14" s="1282">
        <v>361647</v>
      </c>
      <c r="BG14" s="1282">
        <v>353125</v>
      </c>
      <c r="BH14" s="1282">
        <v>252877</v>
      </c>
      <c r="BI14" s="1282">
        <v>294650</v>
      </c>
      <c r="BJ14" s="1282">
        <v>235606</v>
      </c>
      <c r="BK14" s="1282">
        <v>233104</v>
      </c>
      <c r="BL14" s="1282">
        <v>296047</v>
      </c>
      <c r="BM14" s="1282">
        <v>303672</v>
      </c>
      <c r="BN14" s="1054">
        <v>239460</v>
      </c>
      <c r="BO14" s="1054">
        <v>168978</v>
      </c>
      <c r="BP14" s="1054">
        <v>162242</v>
      </c>
      <c r="BQ14" s="1266"/>
      <c r="BS14" s="1193"/>
    </row>
    <row r="15" spans="1:76" ht="12.75" customHeight="1" x14ac:dyDescent="0.2">
      <c r="A15" s="969"/>
      <c r="B15" s="969" t="s">
        <v>62</v>
      </c>
      <c r="C15" s="979">
        <v>-28000</v>
      </c>
      <c r="D15" s="1056">
        <v>-0.42804947028878054</v>
      </c>
      <c r="E15" s="937"/>
      <c r="F15" s="1190"/>
      <c r="G15" s="1190"/>
      <c r="H15" s="1190"/>
      <c r="I15" s="2283">
        <v>37413</v>
      </c>
      <c r="J15" s="1275">
        <v>16898</v>
      </c>
      <c r="K15" s="1275">
        <v>20406</v>
      </c>
      <c r="L15" s="1275">
        <v>31490</v>
      </c>
      <c r="M15" s="1276">
        <v>65413</v>
      </c>
      <c r="N15" s="1275">
        <v>57255</v>
      </c>
      <c r="O15" s="1275">
        <v>27601</v>
      </c>
      <c r="P15" s="1275">
        <v>66289</v>
      </c>
      <c r="Q15" s="1276">
        <v>87372</v>
      </c>
      <c r="R15" s="1275">
        <v>78453</v>
      </c>
      <c r="S15" s="1275">
        <v>70841</v>
      </c>
      <c r="T15" s="1275">
        <v>40283</v>
      </c>
      <c r="U15" s="1276">
        <v>31833</v>
      </c>
      <c r="V15" s="1275">
        <v>38541</v>
      </c>
      <c r="W15" s="1275">
        <v>40609</v>
      </c>
      <c r="X15" s="1275">
        <v>37961</v>
      </c>
      <c r="Y15" s="1276">
        <v>28661</v>
      </c>
      <c r="Z15" s="1275">
        <v>53553</v>
      </c>
      <c r="AA15" s="1275">
        <v>32015</v>
      </c>
      <c r="AB15" s="1275">
        <v>29799</v>
      </c>
      <c r="AC15" s="1276">
        <v>59858</v>
      </c>
      <c r="AD15" s="1275">
        <v>103646</v>
      </c>
      <c r="AE15" s="1275">
        <v>116716</v>
      </c>
      <c r="AF15" s="1275">
        <v>51236</v>
      </c>
      <c r="AG15" s="1276">
        <v>55901</v>
      </c>
      <c r="AH15" s="1275">
        <v>54191</v>
      </c>
      <c r="AI15" s="1275">
        <v>82089</v>
      </c>
      <c r="AJ15" s="1275">
        <v>32366</v>
      </c>
      <c r="AK15" s="1276">
        <v>46590</v>
      </c>
      <c r="AL15" s="1275">
        <v>30146</v>
      </c>
      <c r="AM15" s="1275">
        <v>8887</v>
      </c>
      <c r="AN15" s="1275">
        <v>27894</v>
      </c>
      <c r="AO15" s="1276">
        <v>50989</v>
      </c>
      <c r="AP15" s="1277">
        <v>49608</v>
      </c>
      <c r="AQ15" s="1277">
        <v>84910</v>
      </c>
      <c r="AR15" s="1277">
        <v>73731</v>
      </c>
      <c r="AS15" s="1278">
        <v>128625</v>
      </c>
      <c r="AT15" s="1279">
        <v>99138</v>
      </c>
      <c r="AU15" s="1278">
        <v>78177</v>
      </c>
      <c r="AV15" s="1278">
        <v>70118</v>
      </c>
      <c r="AW15" s="1278">
        <v>102840</v>
      </c>
      <c r="AX15" s="1274"/>
      <c r="AY15" s="1280">
        <v>134207</v>
      </c>
      <c r="AZ15" s="1280">
        <v>238517</v>
      </c>
      <c r="BA15" s="1281">
        <v>-104310</v>
      </c>
      <c r="BB15" s="1056">
        <v>-0.43732731838820715</v>
      </c>
      <c r="BC15" s="1235"/>
      <c r="BD15" s="1018">
        <v>134207</v>
      </c>
      <c r="BE15" s="1018">
        <v>238517</v>
      </c>
      <c r="BF15" s="1282">
        <v>221410</v>
      </c>
      <c r="BG15" s="1282">
        <v>145772</v>
      </c>
      <c r="BH15" s="1282">
        <v>175225</v>
      </c>
      <c r="BI15" s="1282">
        <v>327499</v>
      </c>
      <c r="BJ15" s="1282">
        <v>215237</v>
      </c>
      <c r="BK15" s="1282">
        <v>117916</v>
      </c>
      <c r="BL15" s="1282">
        <v>295787</v>
      </c>
      <c r="BM15" s="1282">
        <v>319240</v>
      </c>
      <c r="BN15" s="1054">
        <f>266206-13082</f>
        <v>253124</v>
      </c>
      <c r="BO15" s="1054">
        <v>214450</v>
      </c>
      <c r="BP15" s="1054">
        <v>188001</v>
      </c>
      <c r="BQ15" s="1266"/>
    </row>
    <row r="16" spans="1:76" ht="12.75" customHeight="1" x14ac:dyDescent="0.2">
      <c r="A16" s="969"/>
      <c r="B16" s="969" t="s">
        <v>203</v>
      </c>
      <c r="C16" s="979">
        <v>17641</v>
      </c>
      <c r="D16" s="1056">
        <v>0.8142626355873529</v>
      </c>
      <c r="E16" s="937"/>
      <c r="F16" s="1190"/>
      <c r="G16" s="1190"/>
      <c r="H16" s="1190"/>
      <c r="I16" s="2283">
        <v>39306</v>
      </c>
      <c r="J16" s="1275">
        <v>54616</v>
      </c>
      <c r="K16" s="1275">
        <v>37809</v>
      </c>
      <c r="L16" s="1275">
        <v>43912</v>
      </c>
      <c r="M16" s="1276">
        <v>21665</v>
      </c>
      <c r="N16" s="1275">
        <v>40283</v>
      </c>
      <c r="O16" s="1275">
        <v>22618</v>
      </c>
      <c r="P16" s="1275">
        <v>55741</v>
      </c>
      <c r="Q16" s="1276">
        <v>32694</v>
      </c>
      <c r="R16" s="1275">
        <v>33585</v>
      </c>
      <c r="S16" s="1275">
        <v>39758</v>
      </c>
      <c r="T16" s="1275">
        <v>29894</v>
      </c>
      <c r="U16" s="1276">
        <v>35905</v>
      </c>
      <c r="V16" s="1275">
        <v>56145</v>
      </c>
      <c r="W16" s="1275">
        <v>69348</v>
      </c>
      <c r="X16" s="1275">
        <v>28571</v>
      </c>
      <c r="Y16" s="1276">
        <v>25626</v>
      </c>
      <c r="Z16" s="1275">
        <v>24634</v>
      </c>
      <c r="AA16" s="1275">
        <v>38541</v>
      </c>
      <c r="AB16" s="1275">
        <v>21664</v>
      </c>
      <c r="AC16" s="1276">
        <v>22531</v>
      </c>
      <c r="AD16" s="1275">
        <v>25702</v>
      </c>
      <c r="AE16" s="1275">
        <v>25276</v>
      </c>
      <c r="AF16" s="1275">
        <v>13215</v>
      </c>
      <c r="AG16" s="1276">
        <v>20721</v>
      </c>
      <c r="AH16" s="1275">
        <v>8323</v>
      </c>
      <c r="AI16" s="1275">
        <v>6328</v>
      </c>
      <c r="AJ16" s="1275">
        <v>15254</v>
      </c>
      <c r="AK16" s="1276">
        <v>9296</v>
      </c>
      <c r="AL16" s="1275">
        <v>8854</v>
      </c>
      <c r="AM16" s="1275">
        <v>11311</v>
      </c>
      <c r="AN16" s="1275">
        <v>6130</v>
      </c>
      <c r="AO16" s="1276">
        <v>25158</v>
      </c>
      <c r="AP16" s="1277"/>
      <c r="AQ16" s="1277"/>
      <c r="AR16" s="1277"/>
      <c r="AS16" s="1278"/>
      <c r="AT16" s="1279"/>
      <c r="AU16" s="1278"/>
      <c r="AV16" s="1278"/>
      <c r="AW16" s="1278"/>
      <c r="AX16" s="1274"/>
      <c r="AY16" s="1280">
        <v>158002</v>
      </c>
      <c r="AZ16" s="1280">
        <v>151336</v>
      </c>
      <c r="BA16" s="1281">
        <v>6666</v>
      </c>
      <c r="BB16" s="1056">
        <v>4.4047681979172172E-2</v>
      </c>
      <c r="BC16" s="1235"/>
      <c r="BD16" s="1018">
        <v>158002</v>
      </c>
      <c r="BE16" s="1018">
        <v>151336</v>
      </c>
      <c r="BF16" s="1282">
        <v>139142</v>
      </c>
      <c r="BG16" s="1282">
        <v>179690</v>
      </c>
      <c r="BH16" s="1282">
        <v>107370</v>
      </c>
      <c r="BI16" s="1282">
        <v>84914</v>
      </c>
      <c r="BJ16" s="1282">
        <v>39200</v>
      </c>
      <c r="BK16" s="1282">
        <v>51453</v>
      </c>
      <c r="BL16" s="1282">
        <v>41087</v>
      </c>
      <c r="BM16" s="1282">
        <v>31033</v>
      </c>
      <c r="BN16" s="1054">
        <v>13082</v>
      </c>
      <c r="BO16" s="1054"/>
      <c r="BP16" s="1054"/>
      <c r="BQ16" s="1266"/>
    </row>
    <row r="17" spans="1:72" ht="12.75" customHeight="1" x14ac:dyDescent="0.2">
      <c r="A17" s="969"/>
      <c r="B17" s="969" t="s">
        <v>63</v>
      </c>
      <c r="C17" s="979">
        <v>4980</v>
      </c>
      <c r="D17" s="1056">
        <v>0.22068598776921031</v>
      </c>
      <c r="E17" s="937"/>
      <c r="F17" s="1190"/>
      <c r="G17" s="1190"/>
      <c r="H17" s="1190"/>
      <c r="I17" s="2283">
        <v>27546</v>
      </c>
      <c r="J17" s="1275">
        <v>25199</v>
      </c>
      <c r="K17" s="1275">
        <v>20202</v>
      </c>
      <c r="L17" s="1275">
        <v>17592</v>
      </c>
      <c r="M17" s="1276">
        <v>22566</v>
      </c>
      <c r="N17" s="1275">
        <v>22621</v>
      </c>
      <c r="O17" s="1275">
        <v>14612</v>
      </c>
      <c r="P17" s="1275">
        <v>17708</v>
      </c>
      <c r="Q17" s="1276">
        <v>20276</v>
      </c>
      <c r="R17" s="1275">
        <v>31027</v>
      </c>
      <c r="S17" s="1275">
        <v>21863</v>
      </c>
      <c r="T17" s="1275">
        <v>18883</v>
      </c>
      <c r="U17" s="1276">
        <v>19540</v>
      </c>
      <c r="V17" s="1275">
        <v>22780</v>
      </c>
      <c r="W17" s="1275">
        <v>18670</v>
      </c>
      <c r="X17" s="1275">
        <v>17109</v>
      </c>
      <c r="Y17" s="1276">
        <v>7847</v>
      </c>
      <c r="Z17" s="1275">
        <v>6769</v>
      </c>
      <c r="AA17" s="1275">
        <v>3304</v>
      </c>
      <c r="AB17" s="1275">
        <v>-1379</v>
      </c>
      <c r="AC17" s="1276">
        <v>1953</v>
      </c>
      <c r="AD17" s="1275">
        <v>17431</v>
      </c>
      <c r="AE17" s="1275">
        <v>10658</v>
      </c>
      <c r="AF17" s="1275">
        <v>9597</v>
      </c>
      <c r="AG17" s="1276">
        <v>5958</v>
      </c>
      <c r="AH17" s="1275">
        <v>7278</v>
      </c>
      <c r="AI17" s="1275">
        <v>15645</v>
      </c>
      <c r="AJ17" s="1275">
        <v>11589</v>
      </c>
      <c r="AK17" s="1276">
        <v>11470</v>
      </c>
      <c r="AL17" s="1275">
        <v>8540</v>
      </c>
      <c r="AM17" s="1275">
        <v>3781</v>
      </c>
      <c r="AN17" s="1275">
        <v>87</v>
      </c>
      <c r="AO17" s="1276">
        <v>5911</v>
      </c>
      <c r="AP17" s="1277">
        <v>4168</v>
      </c>
      <c r="AQ17" s="1277">
        <v>387</v>
      </c>
      <c r="AR17" s="1277">
        <v>-3925</v>
      </c>
      <c r="AS17" s="1278">
        <v>6813</v>
      </c>
      <c r="AT17" s="1279">
        <v>9429</v>
      </c>
      <c r="AU17" s="1278">
        <v>9035</v>
      </c>
      <c r="AV17" s="1278">
        <v>5390</v>
      </c>
      <c r="AW17" s="1278">
        <v>7784</v>
      </c>
      <c r="AX17" s="1274"/>
      <c r="AY17" s="1280">
        <v>85559</v>
      </c>
      <c r="AZ17" s="1280">
        <v>75217</v>
      </c>
      <c r="BA17" s="1281">
        <v>10342</v>
      </c>
      <c r="BB17" s="1056">
        <v>0.13749551298243748</v>
      </c>
      <c r="BC17" s="1235"/>
      <c r="BD17" s="1018">
        <v>85559</v>
      </c>
      <c r="BE17" s="1018">
        <v>75217</v>
      </c>
      <c r="BF17" s="1282">
        <v>91313</v>
      </c>
      <c r="BG17" s="1282">
        <v>66406</v>
      </c>
      <c r="BH17" s="1282">
        <v>10647</v>
      </c>
      <c r="BI17" s="1282">
        <v>43644</v>
      </c>
      <c r="BJ17" s="1282">
        <v>45982</v>
      </c>
      <c r="BK17" s="1282">
        <v>18319</v>
      </c>
      <c r="BL17" s="1282">
        <v>7443</v>
      </c>
      <c r="BM17" s="1282">
        <v>31638</v>
      </c>
      <c r="BN17" s="1054">
        <v>27388</v>
      </c>
      <c r="BO17" s="1054">
        <v>13584</v>
      </c>
      <c r="BP17" s="1054">
        <v>27513</v>
      </c>
    </row>
    <row r="18" spans="1:72" ht="12.75" customHeight="1" x14ac:dyDescent="0.2">
      <c r="A18" s="969"/>
      <c r="B18" s="969" t="s">
        <v>64</v>
      </c>
      <c r="C18" s="979">
        <v>-1466</v>
      </c>
      <c r="D18" s="1056">
        <v>-0.28892392589672844</v>
      </c>
      <c r="E18" s="937"/>
      <c r="F18" s="1190"/>
      <c r="G18" s="1190"/>
      <c r="H18" s="1190"/>
      <c r="I18" s="2283">
        <v>3608</v>
      </c>
      <c r="J18" s="1275">
        <v>3441</v>
      </c>
      <c r="K18" s="1275">
        <v>3981</v>
      </c>
      <c r="L18" s="1275">
        <v>4334</v>
      </c>
      <c r="M18" s="1276">
        <v>5074</v>
      </c>
      <c r="N18" s="1275">
        <v>4961</v>
      </c>
      <c r="O18" s="1275">
        <v>5045</v>
      </c>
      <c r="P18" s="1275">
        <v>5902</v>
      </c>
      <c r="Q18" s="1276">
        <v>6304</v>
      </c>
      <c r="R18" s="1275">
        <v>5908</v>
      </c>
      <c r="S18" s="1275">
        <v>5704</v>
      </c>
      <c r="T18" s="1275">
        <v>6132</v>
      </c>
      <c r="U18" s="1276">
        <v>6805</v>
      </c>
      <c r="V18" s="1275">
        <v>6758</v>
      </c>
      <c r="W18" s="1275">
        <v>7291</v>
      </c>
      <c r="X18" s="1275">
        <v>6758</v>
      </c>
      <c r="Y18" s="1276">
        <v>8392</v>
      </c>
      <c r="Z18" s="1275">
        <v>8205</v>
      </c>
      <c r="AA18" s="1275">
        <v>8147</v>
      </c>
      <c r="AB18" s="1275">
        <v>7590</v>
      </c>
      <c r="AC18" s="1276">
        <v>7857</v>
      </c>
      <c r="AD18" s="1275">
        <v>7707</v>
      </c>
      <c r="AE18" s="1275">
        <v>7753</v>
      </c>
      <c r="AF18" s="1275">
        <v>5436</v>
      </c>
      <c r="AG18" s="1276">
        <v>3144</v>
      </c>
      <c r="AH18" s="1275">
        <v>3269</v>
      </c>
      <c r="AI18" s="1275">
        <v>3099</v>
      </c>
      <c r="AJ18" s="1275">
        <v>3121</v>
      </c>
      <c r="AK18" s="1276">
        <v>3476</v>
      </c>
      <c r="AL18" s="1275">
        <v>5116</v>
      </c>
      <c r="AM18" s="1275">
        <v>9108</v>
      </c>
      <c r="AN18" s="1275">
        <v>11734</v>
      </c>
      <c r="AO18" s="1276">
        <v>12329</v>
      </c>
      <c r="AP18" s="1277">
        <v>14574</v>
      </c>
      <c r="AQ18" s="1277">
        <v>16011</v>
      </c>
      <c r="AR18" s="1277">
        <v>16273</v>
      </c>
      <c r="AS18" s="1278">
        <v>16310</v>
      </c>
      <c r="AT18" s="1279">
        <v>15656</v>
      </c>
      <c r="AU18" s="1278">
        <v>14355</v>
      </c>
      <c r="AV18" s="1278">
        <v>14259</v>
      </c>
      <c r="AW18" s="1278">
        <v>13638</v>
      </c>
      <c r="AX18" s="1274"/>
      <c r="AY18" s="1280">
        <v>16830</v>
      </c>
      <c r="AZ18" s="1280">
        <v>22212</v>
      </c>
      <c r="BA18" s="1281">
        <v>-5382</v>
      </c>
      <c r="BB18" s="1283">
        <v>-0.24230145867098865</v>
      </c>
      <c r="BC18" s="1235"/>
      <c r="BD18" s="1018">
        <v>16830</v>
      </c>
      <c r="BE18" s="1018">
        <v>22212</v>
      </c>
      <c r="BF18" s="1282">
        <v>24549</v>
      </c>
      <c r="BG18" s="1282">
        <v>29199</v>
      </c>
      <c r="BH18" s="1282">
        <v>31799</v>
      </c>
      <c r="BI18" s="1282">
        <v>24040</v>
      </c>
      <c r="BJ18" s="1282">
        <v>12965</v>
      </c>
      <c r="BK18" s="1282">
        <v>38287</v>
      </c>
      <c r="BL18" s="1282">
        <v>63168</v>
      </c>
      <c r="BM18" s="1282">
        <v>57908</v>
      </c>
      <c r="BN18" s="1054">
        <f>36914+1</f>
        <v>36915</v>
      </c>
      <c r="BO18" s="1054">
        <v>26488</v>
      </c>
      <c r="BP18" s="1054">
        <v>15853</v>
      </c>
    </row>
    <row r="19" spans="1:72" ht="12.75" customHeight="1" x14ac:dyDescent="0.2">
      <c r="A19" s="969"/>
      <c r="B19" s="969" t="s">
        <v>65</v>
      </c>
      <c r="C19" s="979">
        <v>405</v>
      </c>
      <c r="D19" s="1056">
        <v>8.0516898608349902E-2</v>
      </c>
      <c r="E19" s="937"/>
      <c r="F19" s="1190"/>
      <c r="G19" s="1190"/>
      <c r="H19" s="1190"/>
      <c r="I19" s="2283">
        <v>5435</v>
      </c>
      <c r="J19" s="1275">
        <v>2843</v>
      </c>
      <c r="K19" s="1275">
        <v>4425</v>
      </c>
      <c r="L19" s="1275">
        <v>4092</v>
      </c>
      <c r="M19" s="1276">
        <v>5030</v>
      </c>
      <c r="N19" s="1275">
        <v>6476</v>
      </c>
      <c r="O19" s="1275">
        <v>4472</v>
      </c>
      <c r="P19" s="1275">
        <v>4391</v>
      </c>
      <c r="Q19" s="1276">
        <v>4084</v>
      </c>
      <c r="R19" s="1275">
        <v>2576</v>
      </c>
      <c r="S19" s="1275">
        <v>5212</v>
      </c>
      <c r="T19" s="1275">
        <v>6282</v>
      </c>
      <c r="U19" s="1276">
        <v>3113</v>
      </c>
      <c r="V19" s="1275">
        <v>6309</v>
      </c>
      <c r="W19" s="1275">
        <v>4670</v>
      </c>
      <c r="X19" s="1275">
        <v>8675</v>
      </c>
      <c r="Y19" s="1276">
        <v>3276</v>
      </c>
      <c r="Z19" s="1275">
        <v>10361</v>
      </c>
      <c r="AA19" s="1275">
        <v>8502</v>
      </c>
      <c r="AB19" s="1275">
        <v>1527</v>
      </c>
      <c r="AC19" s="1276">
        <v>6556</v>
      </c>
      <c r="AD19" s="1275">
        <v>11150</v>
      </c>
      <c r="AE19" s="1275">
        <v>6998</v>
      </c>
      <c r="AF19" s="1275">
        <v>6799</v>
      </c>
      <c r="AG19" s="1276">
        <v>3937</v>
      </c>
      <c r="AH19" s="1275">
        <v>7246</v>
      </c>
      <c r="AI19" s="1275">
        <v>5340</v>
      </c>
      <c r="AJ19" s="1275">
        <v>4786</v>
      </c>
      <c r="AK19" s="1276">
        <v>11175</v>
      </c>
      <c r="AL19" s="1275">
        <v>5335</v>
      </c>
      <c r="AM19" s="1275">
        <v>2628</v>
      </c>
      <c r="AN19" s="1275">
        <v>4354</v>
      </c>
      <c r="AO19" s="1276">
        <v>6325</v>
      </c>
      <c r="AP19" s="1277">
        <v>5511</v>
      </c>
      <c r="AQ19" s="1277">
        <v>7087</v>
      </c>
      <c r="AR19" s="1277">
        <v>7062</v>
      </c>
      <c r="AS19" s="1278">
        <v>8347</v>
      </c>
      <c r="AT19" s="1279">
        <v>4538</v>
      </c>
      <c r="AU19" s="1278">
        <v>2366</v>
      </c>
      <c r="AV19" s="1278">
        <v>2708</v>
      </c>
      <c r="AW19" s="1278">
        <v>3811</v>
      </c>
      <c r="AX19" s="1274"/>
      <c r="AY19" s="1280">
        <v>16390</v>
      </c>
      <c r="AZ19" s="1280">
        <v>19423</v>
      </c>
      <c r="BA19" s="1281">
        <v>-3033</v>
      </c>
      <c r="BB19" s="1283">
        <v>-0.15615507388148073</v>
      </c>
      <c r="BC19" s="1235"/>
      <c r="BD19" s="1018">
        <v>16390</v>
      </c>
      <c r="BE19" s="1018">
        <v>19423</v>
      </c>
      <c r="BF19" s="1282">
        <v>17183</v>
      </c>
      <c r="BG19" s="1282">
        <v>22930</v>
      </c>
      <c r="BH19" s="1282">
        <v>26946</v>
      </c>
      <c r="BI19" s="1282">
        <v>28884</v>
      </c>
      <c r="BJ19" s="1282">
        <v>28547</v>
      </c>
      <c r="BK19" s="1282">
        <v>18642</v>
      </c>
      <c r="BL19" s="1282">
        <v>28007</v>
      </c>
      <c r="BM19" s="1282">
        <v>13423</v>
      </c>
      <c r="BN19" s="1054">
        <v>13446</v>
      </c>
      <c r="BO19" s="1054">
        <v>9278</v>
      </c>
      <c r="BP19" s="1054">
        <v>8548</v>
      </c>
    </row>
    <row r="20" spans="1:72" ht="12.75" customHeight="1" x14ac:dyDescent="0.2">
      <c r="A20" s="971"/>
      <c r="B20" s="969"/>
      <c r="C20" s="1231">
        <v>-8274</v>
      </c>
      <c r="D20" s="1232">
        <v>-3.8581700504537103E-2</v>
      </c>
      <c r="E20" s="937"/>
      <c r="F20" s="1194">
        <v>0</v>
      </c>
      <c r="G20" s="1194">
        <v>0</v>
      </c>
      <c r="H20" s="1194">
        <v>0</v>
      </c>
      <c r="I20" s="2285">
        <v>206180</v>
      </c>
      <c r="J20" s="1284">
        <v>200912</v>
      </c>
      <c r="K20" s="1284">
        <v>181837</v>
      </c>
      <c r="L20" s="1284">
        <v>190602</v>
      </c>
      <c r="M20" s="1285">
        <v>214454</v>
      </c>
      <c r="N20" s="1284">
        <v>232465</v>
      </c>
      <c r="O20" s="1284">
        <v>166471</v>
      </c>
      <c r="P20" s="1284">
        <v>236271</v>
      </c>
      <c r="Q20" s="1285">
        <v>245556</v>
      </c>
      <c r="R20" s="1284">
        <v>253748</v>
      </c>
      <c r="S20" s="1284">
        <v>230959</v>
      </c>
      <c r="T20" s="1284">
        <v>183306</v>
      </c>
      <c r="U20" s="1286">
        <v>187231</v>
      </c>
      <c r="V20" s="1284">
        <v>217971</v>
      </c>
      <c r="W20" s="1284">
        <v>230003</v>
      </c>
      <c r="X20" s="1284">
        <v>186599</v>
      </c>
      <c r="Y20" s="1286">
        <v>162549</v>
      </c>
      <c r="Z20" s="1284">
        <v>177692</v>
      </c>
      <c r="AA20" s="1284">
        <v>147889</v>
      </c>
      <c r="AB20" s="1284">
        <v>119500</v>
      </c>
      <c r="AC20" s="1286">
        <v>159783</v>
      </c>
      <c r="AD20" s="1284">
        <v>247595</v>
      </c>
      <c r="AE20" s="1284">
        <v>254834</v>
      </c>
      <c r="AF20" s="1284">
        <v>149285</v>
      </c>
      <c r="AG20" s="1286">
        <v>151917</v>
      </c>
      <c r="AH20" s="1284">
        <v>143133</v>
      </c>
      <c r="AI20" s="1284">
        <v>173197</v>
      </c>
      <c r="AJ20" s="1284">
        <v>123744</v>
      </c>
      <c r="AK20" s="1286">
        <v>137463</v>
      </c>
      <c r="AL20" s="1284">
        <v>106996</v>
      </c>
      <c r="AM20" s="1284">
        <v>87188</v>
      </c>
      <c r="AN20" s="1284">
        <v>110829</v>
      </c>
      <c r="AO20" s="1286">
        <v>172708</v>
      </c>
      <c r="AP20" s="1287">
        <v>143446</v>
      </c>
      <c r="AQ20" s="1287">
        <v>183354</v>
      </c>
      <c r="AR20" s="1287">
        <v>158869</v>
      </c>
      <c r="AS20" s="1288">
        <v>245870</v>
      </c>
      <c r="AT20" s="1289">
        <v>216443</v>
      </c>
      <c r="AU20" s="1288">
        <v>178313</v>
      </c>
      <c r="AV20" s="1288">
        <v>156031</v>
      </c>
      <c r="AW20" s="1288">
        <v>206127</v>
      </c>
      <c r="AX20" s="1274"/>
      <c r="AY20" s="1284">
        <v>787805</v>
      </c>
      <c r="AZ20" s="1284">
        <v>880763</v>
      </c>
      <c r="BA20" s="1287">
        <v>-92958</v>
      </c>
      <c r="BB20" s="1290">
        <v>-0.10554258069423897</v>
      </c>
      <c r="BC20" s="1235"/>
      <c r="BD20" s="2257">
        <v>787805</v>
      </c>
      <c r="BE20" s="1291">
        <v>880763</v>
      </c>
      <c r="BF20" s="1291">
        <v>855244</v>
      </c>
      <c r="BG20" s="1291">
        <v>797122</v>
      </c>
      <c r="BH20" s="1291">
        <v>604864</v>
      </c>
      <c r="BI20" s="1291">
        <v>803631</v>
      </c>
      <c r="BJ20" s="1291">
        <v>577537</v>
      </c>
      <c r="BK20" s="1291">
        <v>477721</v>
      </c>
      <c r="BL20" s="1291">
        <v>731539</v>
      </c>
      <c r="BM20" s="1291">
        <v>756914</v>
      </c>
      <c r="BN20" s="1292">
        <f>SUM(BN14:BN19)</f>
        <v>583415</v>
      </c>
      <c r="BO20" s="1292">
        <v>432778</v>
      </c>
      <c r="BP20" s="1292">
        <v>402157</v>
      </c>
    </row>
    <row r="21" spans="1:72" ht="12.75" customHeight="1" x14ac:dyDescent="0.2">
      <c r="A21" s="970" t="s">
        <v>5</v>
      </c>
      <c r="B21" s="969"/>
      <c r="C21" s="979"/>
      <c r="D21" s="1056"/>
      <c r="E21" s="937"/>
      <c r="F21" s="1190"/>
      <c r="G21" s="1190"/>
      <c r="H21" s="1190"/>
      <c r="I21" s="2283"/>
      <c r="J21" s="1275"/>
      <c r="K21" s="1275"/>
      <c r="L21" s="1275"/>
      <c r="M21" s="1276"/>
      <c r="N21" s="1275"/>
      <c r="O21" s="1275"/>
      <c r="P21" s="1275"/>
      <c r="Q21" s="1276"/>
      <c r="R21" s="1275"/>
      <c r="S21" s="1275"/>
      <c r="T21" s="1275"/>
      <c r="U21" s="1276"/>
      <c r="V21" s="1275"/>
      <c r="W21" s="1275"/>
      <c r="X21" s="1275"/>
      <c r="Y21" s="1276"/>
      <c r="Z21" s="975"/>
      <c r="AA21" s="1110"/>
      <c r="AB21" s="1275"/>
      <c r="AC21" s="1276"/>
      <c r="AD21" s="975"/>
      <c r="AE21" s="1110"/>
      <c r="AG21" s="1276"/>
      <c r="AH21" s="975"/>
      <c r="AI21" s="1275"/>
      <c r="AJ21" s="1275"/>
      <c r="AK21" s="1276"/>
      <c r="AL21" s="975"/>
      <c r="AM21" s="1275"/>
      <c r="AN21" s="1275"/>
      <c r="AO21" s="1276"/>
      <c r="AP21" s="1277"/>
      <c r="AQ21" s="1277"/>
      <c r="AR21" s="1277"/>
      <c r="AS21" s="1278"/>
      <c r="AT21" s="1279"/>
      <c r="AU21" s="1278"/>
      <c r="AV21" s="1278"/>
      <c r="AW21" s="1278"/>
      <c r="AX21" s="1274"/>
      <c r="AY21" s="1251"/>
      <c r="AZ21" s="1251"/>
      <c r="BA21" s="1281"/>
      <c r="BB21" s="1283"/>
      <c r="BC21" s="1235"/>
      <c r="BD21" s="1274"/>
      <c r="BE21" s="1274"/>
      <c r="BF21" s="1274"/>
      <c r="BG21" s="1274"/>
      <c r="BH21" s="1274"/>
      <c r="BI21" s="1274"/>
      <c r="BJ21" s="1274"/>
      <c r="BK21" s="1274"/>
      <c r="BL21" s="1282"/>
      <c r="BM21" s="1282"/>
      <c r="BN21" s="1054"/>
      <c r="BO21" s="1054"/>
      <c r="BP21" s="1054"/>
      <c r="BQ21" s="1266"/>
    </row>
    <row r="22" spans="1:72" ht="12.75" customHeight="1" x14ac:dyDescent="0.2">
      <c r="A22" s="970"/>
      <c r="B22" s="969" t="s">
        <v>304</v>
      </c>
      <c r="C22" s="979">
        <v>1023</v>
      </c>
      <c r="D22" s="1056">
        <v>1.0452534458624107E-2</v>
      </c>
      <c r="E22" s="937"/>
      <c r="F22" s="1190"/>
      <c r="G22" s="1190"/>
      <c r="H22" s="1190"/>
      <c r="I22" s="2283">
        <v>98894</v>
      </c>
      <c r="J22" s="1275">
        <v>102527</v>
      </c>
      <c r="K22" s="1275">
        <v>97107</v>
      </c>
      <c r="L22" s="1275">
        <v>85346</v>
      </c>
      <c r="M22" s="1276">
        <v>97871</v>
      </c>
      <c r="N22" s="1275">
        <v>116370</v>
      </c>
      <c r="O22" s="1275">
        <v>77030</v>
      </c>
      <c r="P22" s="1275">
        <v>109196</v>
      </c>
      <c r="Q22" s="1276">
        <v>112084</v>
      </c>
      <c r="R22" s="1275">
        <v>114541</v>
      </c>
      <c r="S22" s="1275">
        <v>104878</v>
      </c>
      <c r="T22" s="1275">
        <v>79362</v>
      </c>
      <c r="U22" s="1276">
        <v>77026</v>
      </c>
      <c r="V22" s="1275">
        <v>103619</v>
      </c>
      <c r="W22" s="1275">
        <v>103806</v>
      </c>
      <c r="X22" s="1275">
        <v>82742</v>
      </c>
      <c r="Y22" s="1276">
        <v>72663</v>
      </c>
      <c r="Z22" s="1248">
        <v>88463</v>
      </c>
      <c r="AA22" s="1248">
        <v>62981</v>
      </c>
      <c r="AB22" s="1248">
        <v>54138</v>
      </c>
      <c r="AC22" s="1293">
        <v>77401</v>
      </c>
      <c r="AD22" s="1248">
        <v>121923</v>
      </c>
      <c r="AE22" s="1248">
        <v>122575</v>
      </c>
      <c r="AF22" s="1294">
        <v>65815</v>
      </c>
      <c r="AG22" s="1293"/>
      <c r="AH22" s="1248"/>
      <c r="AI22" s="1248"/>
      <c r="AJ22" s="1248"/>
      <c r="AK22" s="1293"/>
      <c r="AL22" s="1248"/>
      <c r="AM22" s="1248"/>
      <c r="AN22" s="1248"/>
      <c r="AO22" s="1293"/>
      <c r="AP22" s="1295"/>
      <c r="AQ22" s="1295"/>
      <c r="AR22" s="1295"/>
      <c r="AS22" s="1296"/>
      <c r="AT22" s="1297"/>
      <c r="AU22" s="1296"/>
      <c r="AV22" s="1296"/>
      <c r="AW22" s="1296"/>
      <c r="AX22" s="1297"/>
      <c r="AY22" s="1280">
        <v>382851</v>
      </c>
      <c r="AZ22" s="1280">
        <v>414680</v>
      </c>
      <c r="BA22" s="1281">
        <v>-31829</v>
      </c>
      <c r="BB22" s="1056">
        <v>-7.675557056043214E-2</v>
      </c>
      <c r="BC22" s="1235"/>
      <c r="BD22" s="1018">
        <v>382851</v>
      </c>
      <c r="BE22" s="1018">
        <v>414680</v>
      </c>
      <c r="BF22" s="1282">
        <v>375807</v>
      </c>
      <c r="BG22" s="1282">
        <v>362830</v>
      </c>
      <c r="BH22" s="1282">
        <v>282983</v>
      </c>
      <c r="BI22" s="1282">
        <v>380311</v>
      </c>
      <c r="BJ22" s="1282">
        <v>281291</v>
      </c>
      <c r="BK22" s="1282">
        <v>214550</v>
      </c>
      <c r="BL22" s="1282">
        <v>337942</v>
      </c>
      <c r="BM22" s="1282"/>
      <c r="BN22" s="1054"/>
      <c r="BO22" s="1054"/>
      <c r="BP22" s="1054"/>
      <c r="BQ22" s="1266"/>
    </row>
    <row r="23" spans="1:72" ht="12.75" customHeight="1" x14ac:dyDescent="0.2">
      <c r="A23" s="970"/>
      <c r="B23" s="969" t="s">
        <v>305</v>
      </c>
      <c r="C23" s="1233">
        <v>52</v>
      </c>
      <c r="D23" s="1234">
        <v>6.0261907521149613E-3</v>
      </c>
      <c r="E23" s="937"/>
      <c r="F23" s="1197"/>
      <c r="G23" s="1197"/>
      <c r="H23" s="1197"/>
      <c r="I23" s="2392">
        <v>8681</v>
      </c>
      <c r="J23" s="1298">
        <v>10394</v>
      </c>
      <c r="K23" s="1298">
        <v>8667</v>
      </c>
      <c r="L23" s="1298">
        <v>7335</v>
      </c>
      <c r="M23" s="1299">
        <v>8629</v>
      </c>
      <c r="N23" s="1298">
        <v>10185</v>
      </c>
      <c r="O23" s="1298">
        <v>10169</v>
      </c>
      <c r="P23" s="1298">
        <v>10193</v>
      </c>
      <c r="Q23" s="1299">
        <v>10253</v>
      </c>
      <c r="R23" s="1298">
        <v>10035</v>
      </c>
      <c r="S23" s="1298">
        <v>9999</v>
      </c>
      <c r="T23" s="1298">
        <v>8149</v>
      </c>
      <c r="U23" s="1299">
        <v>9299</v>
      </c>
      <c r="V23" s="1298">
        <v>9678</v>
      </c>
      <c r="W23" s="1298">
        <v>10331</v>
      </c>
      <c r="X23" s="1298">
        <v>11772</v>
      </c>
      <c r="Y23" s="1299">
        <v>12113</v>
      </c>
      <c r="Z23" s="1300">
        <v>7178</v>
      </c>
      <c r="AA23" s="1300">
        <v>6834</v>
      </c>
      <c r="AB23" s="1300">
        <v>7700</v>
      </c>
      <c r="AC23" s="1301">
        <v>213</v>
      </c>
      <c r="AD23" s="1300">
        <v>-2540</v>
      </c>
      <c r="AE23" s="1300">
        <v>4065</v>
      </c>
      <c r="AF23" s="1302">
        <v>4723</v>
      </c>
      <c r="AG23" s="1293"/>
      <c r="AH23" s="1248"/>
      <c r="AI23" s="1248"/>
      <c r="AJ23" s="1248"/>
      <c r="AK23" s="1293"/>
      <c r="AL23" s="1248"/>
      <c r="AM23" s="1248"/>
      <c r="AN23" s="1248"/>
      <c r="AO23" s="1293"/>
      <c r="AP23" s="1295"/>
      <c r="AQ23" s="1295"/>
      <c r="AR23" s="1295"/>
      <c r="AS23" s="1296"/>
      <c r="AT23" s="1297"/>
      <c r="AU23" s="1296"/>
      <c r="AV23" s="1296"/>
      <c r="AW23" s="1296"/>
      <c r="AX23" s="1297"/>
      <c r="AY23" s="1303">
        <v>35025</v>
      </c>
      <c r="AZ23" s="1303">
        <v>40800</v>
      </c>
      <c r="BA23" s="1304">
        <v>-5775</v>
      </c>
      <c r="BB23" s="1234">
        <v>-0.14154411764705882</v>
      </c>
      <c r="BC23" s="1235"/>
      <c r="BD23" s="2238">
        <v>35025</v>
      </c>
      <c r="BE23" s="1305">
        <v>40800</v>
      </c>
      <c r="BF23" s="1305">
        <v>37482</v>
      </c>
      <c r="BG23" s="1305">
        <v>43894</v>
      </c>
      <c r="BH23" s="1305">
        <v>21925</v>
      </c>
      <c r="BI23" s="1305">
        <v>8735</v>
      </c>
      <c r="BJ23" s="1305">
        <v>17793</v>
      </c>
      <c r="BK23" s="1305">
        <v>7456</v>
      </c>
      <c r="BL23" s="1305">
        <v>9137</v>
      </c>
      <c r="BM23" s="1282"/>
      <c r="BN23" s="1054"/>
      <c r="BO23" s="1054"/>
      <c r="BP23" s="1054"/>
      <c r="BQ23" s="1266"/>
    </row>
    <row r="24" spans="1:72" ht="12.75" customHeight="1" x14ac:dyDescent="0.2">
      <c r="A24" s="971"/>
      <c r="B24" s="1235" t="s">
        <v>209</v>
      </c>
      <c r="C24" s="979">
        <v>1075</v>
      </c>
      <c r="D24" s="1056">
        <v>1.0093896713615023E-2</v>
      </c>
      <c r="E24" s="937"/>
      <c r="F24" s="1190">
        <v>0</v>
      </c>
      <c r="G24" s="1190">
        <v>0</v>
      </c>
      <c r="H24" s="1190">
        <v>0</v>
      </c>
      <c r="I24" s="1200">
        <v>107575</v>
      </c>
      <c r="J24" s="1275">
        <v>112921</v>
      </c>
      <c r="K24" s="1275">
        <v>105774</v>
      </c>
      <c r="L24" s="1275">
        <v>92681</v>
      </c>
      <c r="M24" s="1306">
        <v>106500</v>
      </c>
      <c r="N24" s="1275">
        <v>126555</v>
      </c>
      <c r="O24" s="1275">
        <v>87199</v>
      </c>
      <c r="P24" s="1275">
        <v>119389</v>
      </c>
      <c r="Q24" s="1306">
        <v>122337</v>
      </c>
      <c r="R24" s="1275">
        <v>124576</v>
      </c>
      <c r="S24" s="1275">
        <v>114877</v>
      </c>
      <c r="T24" s="1275">
        <v>87511</v>
      </c>
      <c r="U24" s="1276">
        <v>86325</v>
      </c>
      <c r="V24" s="1275">
        <v>113297</v>
      </c>
      <c r="W24" s="1275">
        <v>114137</v>
      </c>
      <c r="X24" s="1275">
        <v>94514</v>
      </c>
      <c r="Y24" s="1276">
        <v>84776</v>
      </c>
      <c r="Z24" s="1275">
        <v>95641</v>
      </c>
      <c r="AA24" s="1275">
        <v>69815</v>
      </c>
      <c r="AB24" s="1275">
        <v>61838</v>
      </c>
      <c r="AC24" s="1276">
        <v>77614</v>
      </c>
      <c r="AD24" s="1275">
        <v>119383</v>
      </c>
      <c r="AE24" s="1275">
        <v>126640</v>
      </c>
      <c r="AF24" s="1275">
        <v>70538</v>
      </c>
      <c r="AG24" s="1276">
        <v>72485</v>
      </c>
      <c r="AH24" s="1275">
        <v>72783</v>
      </c>
      <c r="AI24" s="1275">
        <v>93872</v>
      </c>
      <c r="AJ24" s="1275">
        <v>63966</v>
      </c>
      <c r="AK24" s="1276">
        <v>68463</v>
      </c>
      <c r="AL24" s="1275">
        <v>45003</v>
      </c>
      <c r="AM24" s="1275">
        <v>43299</v>
      </c>
      <c r="AN24" s="1275">
        <v>50977</v>
      </c>
      <c r="AO24" s="1276">
        <v>82727</v>
      </c>
      <c r="AP24" s="1277">
        <v>63479</v>
      </c>
      <c r="AQ24" s="1277">
        <v>90778</v>
      </c>
      <c r="AR24" s="1277">
        <v>71416</v>
      </c>
      <c r="AS24" s="1278">
        <v>121406</v>
      </c>
      <c r="AT24" s="1279">
        <v>113502</v>
      </c>
      <c r="AU24" s="1278">
        <v>89466</v>
      </c>
      <c r="AV24" s="1278">
        <v>74974</v>
      </c>
      <c r="AW24" s="1278">
        <v>104955</v>
      </c>
      <c r="AX24" s="1274"/>
      <c r="AY24" s="1280">
        <v>417876</v>
      </c>
      <c r="AZ24" s="1280">
        <v>455480</v>
      </c>
      <c r="BA24" s="1281">
        <v>-37604</v>
      </c>
      <c r="BB24" s="1056">
        <v>-8.2559058575568625E-2</v>
      </c>
      <c r="BC24" s="1235"/>
      <c r="BD24" s="1018">
        <v>417876</v>
      </c>
      <c r="BE24" s="1282">
        <v>455480</v>
      </c>
      <c r="BF24" s="1282">
        <v>413289</v>
      </c>
      <c r="BG24" s="1282">
        <v>406724</v>
      </c>
      <c r="BH24" s="1282">
        <v>304908</v>
      </c>
      <c r="BI24" s="1282">
        <v>389046</v>
      </c>
      <c r="BJ24" s="1282">
        <v>299084</v>
      </c>
      <c r="BK24" s="1282">
        <v>222006</v>
      </c>
      <c r="BL24" s="1282">
        <v>347079</v>
      </c>
      <c r="BM24" s="1282">
        <v>382897</v>
      </c>
      <c r="BN24" s="1054">
        <v>299188</v>
      </c>
      <c r="BO24" s="1054">
        <v>220454</v>
      </c>
      <c r="BP24" s="1054">
        <v>218802</v>
      </c>
      <c r="BQ24" s="1266"/>
      <c r="BS24" s="1201"/>
    </row>
    <row r="25" spans="1:72" ht="12.75" customHeight="1" x14ac:dyDescent="0.2">
      <c r="A25" s="971"/>
      <c r="B25" s="969" t="s">
        <v>66</v>
      </c>
      <c r="C25" s="979">
        <v>-655</v>
      </c>
      <c r="D25" s="1056">
        <v>-2.9028541038822905E-2</v>
      </c>
      <c r="E25" s="937"/>
      <c r="F25" s="1190"/>
      <c r="G25" s="1190"/>
      <c r="H25" s="1190"/>
      <c r="I25" s="2283">
        <v>21909</v>
      </c>
      <c r="J25" s="1275">
        <v>24398</v>
      </c>
      <c r="K25" s="1275">
        <v>23509</v>
      </c>
      <c r="L25" s="1275">
        <v>22510</v>
      </c>
      <c r="M25" s="1276">
        <v>22564</v>
      </c>
      <c r="N25" s="1275">
        <v>22539</v>
      </c>
      <c r="O25" s="1275">
        <v>20430</v>
      </c>
      <c r="P25" s="1275">
        <v>20268</v>
      </c>
      <c r="Q25" s="1276">
        <v>22533</v>
      </c>
      <c r="R25" s="1275">
        <v>25169</v>
      </c>
      <c r="S25" s="1275">
        <v>21350</v>
      </c>
      <c r="T25" s="1275">
        <v>21506</v>
      </c>
      <c r="U25" s="1276">
        <v>23110</v>
      </c>
      <c r="V25" s="1275">
        <v>22825</v>
      </c>
      <c r="W25" s="1275">
        <v>21082</v>
      </c>
      <c r="X25" s="1275">
        <v>21417</v>
      </c>
      <c r="Y25" s="1276">
        <v>23198</v>
      </c>
      <c r="Z25" s="1275">
        <v>17635</v>
      </c>
      <c r="AA25" s="1275">
        <v>15009</v>
      </c>
      <c r="AB25" s="1275">
        <v>14163</v>
      </c>
      <c r="AC25" s="1276">
        <v>17117</v>
      </c>
      <c r="AD25" s="1275">
        <v>17543</v>
      </c>
      <c r="AE25" s="1275">
        <v>14739</v>
      </c>
      <c r="AF25" s="1275">
        <v>16322</v>
      </c>
      <c r="AG25" s="1276">
        <v>15816</v>
      </c>
      <c r="AH25" s="1275">
        <v>16685</v>
      </c>
      <c r="AI25" s="1275">
        <v>14945</v>
      </c>
      <c r="AJ25" s="1275">
        <v>13983</v>
      </c>
      <c r="AK25" s="1276">
        <v>13802</v>
      </c>
      <c r="AL25" s="1275">
        <v>14316</v>
      </c>
      <c r="AM25" s="1275">
        <v>12817</v>
      </c>
      <c r="AN25" s="1275">
        <v>14195</v>
      </c>
      <c r="AO25" s="1276">
        <v>15443</v>
      </c>
      <c r="AP25" s="1277">
        <v>14718</v>
      </c>
      <c r="AQ25" s="1277">
        <v>12658</v>
      </c>
      <c r="AR25" s="1277">
        <v>12649</v>
      </c>
      <c r="AS25" s="1278">
        <v>14269</v>
      </c>
      <c r="AT25" s="1279">
        <v>12862</v>
      </c>
      <c r="AU25" s="1278">
        <v>11610</v>
      </c>
      <c r="AV25" s="1278">
        <v>10643</v>
      </c>
      <c r="AW25" s="1278">
        <v>12493</v>
      </c>
      <c r="AX25" s="1274"/>
      <c r="AY25" s="1280">
        <v>92981</v>
      </c>
      <c r="AZ25" s="1280">
        <v>85770</v>
      </c>
      <c r="BA25" s="1281">
        <v>7211</v>
      </c>
      <c r="BB25" s="1056">
        <v>8.4073685437798765E-2</v>
      </c>
      <c r="BC25" s="1235"/>
      <c r="BD25" s="1018">
        <v>92981</v>
      </c>
      <c r="BE25" s="1018">
        <v>85770</v>
      </c>
      <c r="BF25" s="1282">
        <v>91135</v>
      </c>
      <c r="BG25" s="1282">
        <v>88522</v>
      </c>
      <c r="BH25" s="1282">
        <v>63924</v>
      </c>
      <c r="BI25" s="1282">
        <v>64420</v>
      </c>
      <c r="BJ25" s="1282">
        <v>59415</v>
      </c>
      <c r="BK25" s="1282">
        <v>56771</v>
      </c>
      <c r="BL25" s="1282">
        <v>54294</v>
      </c>
      <c r="BM25" s="1282">
        <v>47608</v>
      </c>
      <c r="BN25" s="1054">
        <v>42019</v>
      </c>
      <c r="BO25" s="1054">
        <v>45715</v>
      </c>
      <c r="BP25" s="1054">
        <v>37193</v>
      </c>
      <c r="BQ25" s="1266"/>
      <c r="BS25" s="1201"/>
    </row>
    <row r="26" spans="1:72" s="914" customFormat="1" x14ac:dyDescent="0.2">
      <c r="A26" s="971"/>
      <c r="B26" s="969" t="s">
        <v>92</v>
      </c>
      <c r="C26" s="979">
        <v>326</v>
      </c>
      <c r="D26" s="1056">
        <v>2.3606082548877624E-2</v>
      </c>
      <c r="E26" s="937"/>
      <c r="F26" s="1190"/>
      <c r="G26" s="1190"/>
      <c r="H26" s="1190"/>
      <c r="I26" s="2283">
        <v>14136</v>
      </c>
      <c r="J26" s="1275">
        <v>13939</v>
      </c>
      <c r="K26" s="1275">
        <v>15142</v>
      </c>
      <c r="L26" s="1275">
        <v>14107</v>
      </c>
      <c r="M26" s="1276">
        <v>13810</v>
      </c>
      <c r="N26" s="1275">
        <v>13411</v>
      </c>
      <c r="O26" s="1275">
        <v>13975</v>
      </c>
      <c r="P26" s="1275">
        <v>12775</v>
      </c>
      <c r="Q26" s="1276">
        <v>12634</v>
      </c>
      <c r="R26" s="1275">
        <v>14199</v>
      </c>
      <c r="S26" s="1275">
        <v>11370</v>
      </c>
      <c r="T26" s="1275">
        <v>10336</v>
      </c>
      <c r="U26" s="1276">
        <v>11967</v>
      </c>
      <c r="V26" s="1275">
        <v>10697</v>
      </c>
      <c r="W26" s="1275">
        <v>10419</v>
      </c>
      <c r="X26" s="1275">
        <v>10189</v>
      </c>
      <c r="Y26" s="1276">
        <v>12587</v>
      </c>
      <c r="Z26" s="1275">
        <v>6190</v>
      </c>
      <c r="AA26" s="1275">
        <v>7416</v>
      </c>
      <c r="AB26" s="1275">
        <v>7742</v>
      </c>
      <c r="AC26" s="1276">
        <v>8965</v>
      </c>
      <c r="AD26" s="1275">
        <v>8624</v>
      </c>
      <c r="AE26" s="1275">
        <v>7937</v>
      </c>
      <c r="AF26" s="1275">
        <v>7241</v>
      </c>
      <c r="AG26" s="1276">
        <v>7705</v>
      </c>
      <c r="AH26" s="1275">
        <v>7418</v>
      </c>
      <c r="AI26" s="1275">
        <v>7140</v>
      </c>
      <c r="AJ26" s="1275">
        <v>7002</v>
      </c>
      <c r="AK26" s="1276">
        <v>7324</v>
      </c>
      <c r="AL26" s="1275">
        <v>6565</v>
      </c>
      <c r="AM26" s="1275">
        <v>6708</v>
      </c>
      <c r="AN26" s="1275">
        <v>6717</v>
      </c>
      <c r="AO26" s="1276">
        <v>6321</v>
      </c>
      <c r="AP26" s="1307">
        <v>5829</v>
      </c>
      <c r="AQ26" s="1307">
        <v>7054</v>
      </c>
      <c r="AR26" s="1307">
        <v>7249</v>
      </c>
      <c r="AS26" s="1308">
        <v>6958</v>
      </c>
      <c r="AT26" s="1309">
        <v>6718</v>
      </c>
      <c r="AU26" s="1308">
        <v>6056</v>
      </c>
      <c r="AV26" s="1308">
        <v>6119</v>
      </c>
      <c r="AW26" s="1308">
        <v>8559</v>
      </c>
      <c r="AX26" s="1055"/>
      <c r="AY26" s="1280">
        <v>56998</v>
      </c>
      <c r="AZ26" s="1280">
        <v>52795</v>
      </c>
      <c r="BA26" s="1026">
        <v>4203</v>
      </c>
      <c r="BB26" s="1056">
        <v>7.9609811535183261E-2</v>
      </c>
      <c r="BC26" s="1244"/>
      <c r="BD26" s="1018">
        <v>56998</v>
      </c>
      <c r="BE26" s="1018">
        <v>52795</v>
      </c>
      <c r="BF26" s="1282">
        <v>47872</v>
      </c>
      <c r="BG26" s="1282">
        <v>43892</v>
      </c>
      <c r="BH26" s="1282">
        <v>30313</v>
      </c>
      <c r="BI26" s="1282">
        <v>31507</v>
      </c>
      <c r="BJ26" s="1282">
        <v>28884</v>
      </c>
      <c r="BK26" s="1282">
        <v>26311</v>
      </c>
      <c r="BL26" s="1282">
        <v>27090</v>
      </c>
      <c r="BM26" s="1282">
        <v>27452</v>
      </c>
      <c r="BN26" s="1054">
        <v>20615</v>
      </c>
      <c r="BO26" s="1054">
        <v>16863</v>
      </c>
      <c r="BP26" s="1054">
        <v>17310</v>
      </c>
      <c r="BQ26" s="972"/>
      <c r="BR26" s="963"/>
      <c r="BS26" s="1204"/>
    </row>
    <row r="27" spans="1:72" s="914" customFormat="1" x14ac:dyDescent="0.2">
      <c r="A27" s="971"/>
      <c r="B27" s="969" t="s">
        <v>68</v>
      </c>
      <c r="C27" s="979">
        <v>-138</v>
      </c>
      <c r="D27" s="1056">
        <v>-1.3959134129071415E-2</v>
      </c>
      <c r="E27" s="1205"/>
      <c r="F27" s="1190"/>
      <c r="G27" s="1190"/>
      <c r="H27" s="1190"/>
      <c r="I27" s="2283">
        <v>9748</v>
      </c>
      <c r="J27" s="1275">
        <v>11014</v>
      </c>
      <c r="K27" s="1275">
        <v>9912</v>
      </c>
      <c r="L27" s="1275">
        <v>10051</v>
      </c>
      <c r="M27" s="1276">
        <v>9886</v>
      </c>
      <c r="N27" s="1275">
        <v>10589</v>
      </c>
      <c r="O27" s="1275">
        <v>9579</v>
      </c>
      <c r="P27" s="1275">
        <v>10080</v>
      </c>
      <c r="Q27" s="1276">
        <v>10033</v>
      </c>
      <c r="R27" s="1275">
        <v>9211</v>
      </c>
      <c r="S27" s="1275">
        <v>10092</v>
      </c>
      <c r="T27" s="1275">
        <v>9823</v>
      </c>
      <c r="U27" s="1276">
        <v>9335</v>
      </c>
      <c r="V27" s="1275">
        <v>9924</v>
      </c>
      <c r="W27" s="1275">
        <v>9504</v>
      </c>
      <c r="X27" s="1275">
        <v>10842</v>
      </c>
      <c r="Y27" s="1276">
        <v>10854</v>
      </c>
      <c r="Z27" s="1275">
        <v>7354</v>
      </c>
      <c r="AA27" s="1275">
        <v>6633</v>
      </c>
      <c r="AB27" s="1275">
        <v>6727</v>
      </c>
      <c r="AC27" s="1276">
        <v>6832</v>
      </c>
      <c r="AD27" s="1275">
        <v>7403</v>
      </c>
      <c r="AE27" s="1275">
        <v>7077</v>
      </c>
      <c r="AF27" s="1275">
        <v>6640</v>
      </c>
      <c r="AG27" s="1276">
        <v>6038</v>
      </c>
      <c r="AH27" s="1275">
        <v>6188</v>
      </c>
      <c r="AI27" s="1275">
        <v>6228</v>
      </c>
      <c r="AJ27" s="1275">
        <v>6104</v>
      </c>
      <c r="AK27" s="1276">
        <v>5882</v>
      </c>
      <c r="AL27" s="1275">
        <v>6404</v>
      </c>
      <c r="AM27" s="1275">
        <v>6549</v>
      </c>
      <c r="AN27" s="1275">
        <v>5957</v>
      </c>
      <c r="AO27" s="1276">
        <v>5785</v>
      </c>
      <c r="AP27" s="1307">
        <v>5970</v>
      </c>
      <c r="AQ27" s="1307">
        <v>5781</v>
      </c>
      <c r="AR27" s="1307">
        <v>5735</v>
      </c>
      <c r="AS27" s="1308">
        <v>5259</v>
      </c>
      <c r="AT27" s="1309">
        <v>7612</v>
      </c>
      <c r="AU27" s="1308">
        <v>5810</v>
      </c>
      <c r="AV27" s="1308">
        <v>5814</v>
      </c>
      <c r="AW27" s="1308">
        <v>5937</v>
      </c>
      <c r="AX27" s="1055"/>
      <c r="AY27" s="1280">
        <v>40863</v>
      </c>
      <c r="AZ27" s="1280">
        <v>40281</v>
      </c>
      <c r="BA27" s="1026">
        <v>582</v>
      </c>
      <c r="BB27" s="1056">
        <v>1.4448499292470395E-2</v>
      </c>
      <c r="BC27" s="1244"/>
      <c r="BD27" s="1018">
        <v>40863</v>
      </c>
      <c r="BE27" s="1018">
        <v>40281</v>
      </c>
      <c r="BF27" s="1282">
        <v>38461</v>
      </c>
      <c r="BG27" s="1282">
        <v>41124</v>
      </c>
      <c r="BH27" s="1282">
        <v>27546</v>
      </c>
      <c r="BI27" s="1282">
        <v>27158</v>
      </c>
      <c r="BJ27" s="1282">
        <v>24402</v>
      </c>
      <c r="BK27" s="1282">
        <v>24695</v>
      </c>
      <c r="BL27" s="1282">
        <v>22745</v>
      </c>
      <c r="BM27" s="1282">
        <v>25173</v>
      </c>
      <c r="BN27" s="1054">
        <v>15843</v>
      </c>
      <c r="BO27" s="1054">
        <v>11849</v>
      </c>
      <c r="BP27" s="1054">
        <v>13017</v>
      </c>
      <c r="BQ27" s="972"/>
      <c r="BR27" s="963"/>
      <c r="BS27" s="1204"/>
    </row>
    <row r="28" spans="1:72" s="914" customFormat="1" x14ac:dyDescent="0.2">
      <c r="A28" s="971"/>
      <c r="B28" s="1236" t="s">
        <v>69</v>
      </c>
      <c r="C28" s="979">
        <v>-1269</v>
      </c>
      <c r="D28" s="1056">
        <v>-9.3288245240020579E-2</v>
      </c>
      <c r="E28" s="937"/>
      <c r="F28" s="1190"/>
      <c r="G28" s="1190"/>
      <c r="H28" s="1190"/>
      <c r="I28" s="2283">
        <v>12334</v>
      </c>
      <c r="J28" s="1275">
        <v>13871</v>
      </c>
      <c r="K28" s="1275">
        <v>14234</v>
      </c>
      <c r="L28" s="1275">
        <v>14267</v>
      </c>
      <c r="M28" s="1276">
        <v>13603</v>
      </c>
      <c r="N28" s="1275">
        <v>14343</v>
      </c>
      <c r="O28" s="1275">
        <v>12997</v>
      </c>
      <c r="P28" s="1275">
        <v>12901</v>
      </c>
      <c r="Q28" s="1276">
        <v>11517</v>
      </c>
      <c r="R28" s="1275">
        <v>11790</v>
      </c>
      <c r="S28" s="1275">
        <v>12345</v>
      </c>
      <c r="T28" s="1275">
        <v>11406</v>
      </c>
      <c r="U28" s="1276">
        <v>10524</v>
      </c>
      <c r="V28" s="1275">
        <v>11390</v>
      </c>
      <c r="W28" s="1275">
        <v>12140</v>
      </c>
      <c r="X28" s="1275">
        <v>11280</v>
      </c>
      <c r="Y28" s="1276">
        <v>14305</v>
      </c>
      <c r="Z28" s="1275">
        <v>8458</v>
      </c>
      <c r="AA28" s="1275">
        <v>6744</v>
      </c>
      <c r="AB28" s="1275">
        <v>6752</v>
      </c>
      <c r="AC28" s="1276">
        <v>6389</v>
      </c>
      <c r="AD28" s="1275">
        <v>6307</v>
      </c>
      <c r="AE28" s="1275">
        <v>6111</v>
      </c>
      <c r="AF28" s="1275">
        <v>6779</v>
      </c>
      <c r="AG28" s="1276">
        <v>6269</v>
      </c>
      <c r="AH28" s="1275">
        <v>5296</v>
      </c>
      <c r="AI28" s="1275">
        <v>5838</v>
      </c>
      <c r="AJ28" s="1275">
        <v>5245</v>
      </c>
      <c r="AK28" s="1276">
        <v>5489</v>
      </c>
      <c r="AL28" s="1275">
        <v>6249</v>
      </c>
      <c r="AM28" s="1275">
        <v>6277</v>
      </c>
      <c r="AN28" s="1275">
        <v>6539</v>
      </c>
      <c r="AO28" s="1276">
        <v>6163</v>
      </c>
      <c r="AP28" s="1307">
        <v>6065</v>
      </c>
      <c r="AQ28" s="1307">
        <v>5611</v>
      </c>
      <c r="AR28" s="1307">
        <v>5813</v>
      </c>
      <c r="AS28" s="1308">
        <v>5739</v>
      </c>
      <c r="AT28" s="1309">
        <v>5670</v>
      </c>
      <c r="AU28" s="1308">
        <v>5352</v>
      </c>
      <c r="AV28" s="1308">
        <v>5387</v>
      </c>
      <c r="AW28" s="1308">
        <v>5063</v>
      </c>
      <c r="AX28" s="1055"/>
      <c r="AY28" s="1310">
        <v>55975</v>
      </c>
      <c r="AZ28" s="1280">
        <v>51758</v>
      </c>
      <c r="BA28" s="1026">
        <v>4217</v>
      </c>
      <c r="BB28" s="1056">
        <v>8.1475327485606083E-2</v>
      </c>
      <c r="BC28" s="1244"/>
      <c r="BD28" s="1018">
        <v>55975</v>
      </c>
      <c r="BE28" s="1018">
        <v>51758</v>
      </c>
      <c r="BF28" s="1282">
        <v>46065</v>
      </c>
      <c r="BG28" s="1282">
        <v>49115</v>
      </c>
      <c r="BH28" s="1282">
        <v>28343</v>
      </c>
      <c r="BI28" s="1282">
        <v>25466</v>
      </c>
      <c r="BJ28" s="1282">
        <v>21868</v>
      </c>
      <c r="BK28" s="1282">
        <v>25228</v>
      </c>
      <c r="BL28" s="1282">
        <v>23228</v>
      </c>
      <c r="BM28" s="1282">
        <v>21472</v>
      </c>
      <c r="BN28" s="1054">
        <v>16598</v>
      </c>
      <c r="BO28" s="1054">
        <v>14037</v>
      </c>
      <c r="BP28" s="1054">
        <v>12290</v>
      </c>
      <c r="BQ28" s="972"/>
      <c r="BR28" s="963"/>
      <c r="BS28" s="1204"/>
    </row>
    <row r="29" spans="1:72" s="914" customFormat="1" x14ac:dyDescent="0.2">
      <c r="A29" s="971"/>
      <c r="B29" s="969" t="s">
        <v>64</v>
      </c>
      <c r="C29" s="979">
        <v>151</v>
      </c>
      <c r="D29" s="1056">
        <v>4.5882710422364026E-2</v>
      </c>
      <c r="E29" s="937"/>
      <c r="F29" s="1190"/>
      <c r="G29" s="1190"/>
      <c r="H29" s="1190"/>
      <c r="I29" s="2283">
        <v>3442</v>
      </c>
      <c r="J29" s="1275">
        <v>2208</v>
      </c>
      <c r="K29" s="1275">
        <v>2431</v>
      </c>
      <c r="L29" s="1275">
        <v>2292</v>
      </c>
      <c r="M29" s="1276">
        <v>3291</v>
      </c>
      <c r="N29" s="1275">
        <v>2901</v>
      </c>
      <c r="O29" s="1275">
        <v>3291</v>
      </c>
      <c r="P29" s="1275">
        <v>2977</v>
      </c>
      <c r="Q29" s="1276">
        <v>4255</v>
      </c>
      <c r="R29" s="1275">
        <v>3778</v>
      </c>
      <c r="S29" s="1275">
        <v>3875</v>
      </c>
      <c r="T29" s="1275">
        <v>4063</v>
      </c>
      <c r="U29" s="1276">
        <v>4643</v>
      </c>
      <c r="V29" s="1275">
        <v>3479</v>
      </c>
      <c r="W29" s="1275">
        <v>3981</v>
      </c>
      <c r="X29" s="1275">
        <v>3291</v>
      </c>
      <c r="Y29" s="1276">
        <v>4551</v>
      </c>
      <c r="Z29" s="1275">
        <v>3080</v>
      </c>
      <c r="AA29" s="1275">
        <v>2361</v>
      </c>
      <c r="AB29" s="1275">
        <v>1967</v>
      </c>
      <c r="AC29" s="1276">
        <v>2408</v>
      </c>
      <c r="AD29" s="1275">
        <v>2485</v>
      </c>
      <c r="AE29" s="1275">
        <v>3037</v>
      </c>
      <c r="AF29" s="1275">
        <v>1673</v>
      </c>
      <c r="AG29" s="1276">
        <v>616</v>
      </c>
      <c r="AH29" s="1275">
        <v>613</v>
      </c>
      <c r="AI29" s="1275">
        <v>631</v>
      </c>
      <c r="AJ29" s="1275">
        <v>492</v>
      </c>
      <c r="AK29" s="1276">
        <v>845</v>
      </c>
      <c r="AL29" s="1275">
        <v>1339</v>
      </c>
      <c r="AM29" s="1275">
        <v>2568</v>
      </c>
      <c r="AN29" s="1275">
        <v>3354</v>
      </c>
      <c r="AO29" s="1276">
        <v>3959</v>
      </c>
      <c r="AP29" s="1307">
        <v>5372</v>
      </c>
      <c r="AQ29" s="1307">
        <v>6574</v>
      </c>
      <c r="AR29" s="1307">
        <v>6413</v>
      </c>
      <c r="AS29" s="1308">
        <v>6168</v>
      </c>
      <c r="AT29" s="1309">
        <v>5228</v>
      </c>
      <c r="AU29" s="1308">
        <v>4926</v>
      </c>
      <c r="AV29" s="1308">
        <v>5402</v>
      </c>
      <c r="AW29" s="1308">
        <v>4982</v>
      </c>
      <c r="AX29" s="1055"/>
      <c r="AY29" s="1310">
        <v>10222</v>
      </c>
      <c r="AZ29" s="1280">
        <v>13424</v>
      </c>
      <c r="BA29" s="1026">
        <v>-3202</v>
      </c>
      <c r="BB29" s="1056">
        <v>-0.2385280095351609</v>
      </c>
      <c r="BC29" s="1244"/>
      <c r="BD29" s="1018">
        <v>10222</v>
      </c>
      <c r="BE29" s="1018">
        <v>13424</v>
      </c>
      <c r="BF29" s="1282">
        <v>16359</v>
      </c>
      <c r="BG29" s="1282">
        <v>15302</v>
      </c>
      <c r="BH29" s="1282">
        <v>9816</v>
      </c>
      <c r="BI29" s="1282">
        <v>7811</v>
      </c>
      <c r="BJ29" s="1282">
        <v>2581</v>
      </c>
      <c r="BK29" s="1282">
        <v>11220</v>
      </c>
      <c r="BL29" s="1282">
        <v>24527</v>
      </c>
      <c r="BM29" s="1282">
        <v>20538</v>
      </c>
      <c r="BN29" s="1054">
        <v>10914</v>
      </c>
      <c r="BO29" s="1054">
        <v>7824</v>
      </c>
      <c r="BP29" s="1054">
        <v>3994</v>
      </c>
      <c r="BQ29" s="972"/>
      <c r="BR29" s="963"/>
      <c r="BS29" s="1204"/>
    </row>
    <row r="30" spans="1:72" s="914" customFormat="1" x14ac:dyDescent="0.2">
      <c r="A30" s="971"/>
      <c r="B30" s="969" t="s">
        <v>70</v>
      </c>
      <c r="C30" s="979">
        <v>-2620</v>
      </c>
      <c r="D30" s="1056">
        <v>-0.11818837964633706</v>
      </c>
      <c r="E30" s="937"/>
      <c r="F30" s="1190"/>
      <c r="G30" s="1190"/>
      <c r="H30" s="1190"/>
      <c r="I30" s="2283">
        <v>19548</v>
      </c>
      <c r="J30" s="1275">
        <v>18276</v>
      </c>
      <c r="K30" s="1275">
        <v>23766</v>
      </c>
      <c r="L30" s="1275">
        <v>22794</v>
      </c>
      <c r="M30" s="1276">
        <v>22168</v>
      </c>
      <c r="N30" s="1275">
        <v>22065</v>
      </c>
      <c r="O30" s="1275">
        <v>26718</v>
      </c>
      <c r="P30" s="1275">
        <v>21836</v>
      </c>
      <c r="Q30" s="1276">
        <v>24069</v>
      </c>
      <c r="R30" s="1275">
        <v>20494</v>
      </c>
      <c r="S30" s="1275">
        <v>22077</v>
      </c>
      <c r="T30" s="1275">
        <v>20440</v>
      </c>
      <c r="U30" s="1276">
        <v>20823</v>
      </c>
      <c r="V30" s="1275">
        <v>20722</v>
      </c>
      <c r="W30" s="1275">
        <v>23809</v>
      </c>
      <c r="X30" s="1275">
        <v>20957</v>
      </c>
      <c r="Y30" s="1276">
        <v>24016</v>
      </c>
      <c r="Z30" s="1275">
        <v>20795</v>
      </c>
      <c r="AA30" s="1275">
        <v>16191</v>
      </c>
      <c r="AB30" s="1275">
        <v>16263</v>
      </c>
      <c r="AC30" s="1276">
        <v>16274</v>
      </c>
      <c r="AD30" s="1275">
        <v>19052</v>
      </c>
      <c r="AE30" s="1275">
        <v>17049</v>
      </c>
      <c r="AF30" s="1275">
        <v>15990</v>
      </c>
      <c r="AG30" s="1276">
        <v>15791</v>
      </c>
      <c r="AH30" s="1275">
        <v>14958</v>
      </c>
      <c r="AI30" s="1275">
        <v>13609</v>
      </c>
      <c r="AJ30" s="1275">
        <v>11698</v>
      </c>
      <c r="AK30" s="1276">
        <v>11888</v>
      </c>
      <c r="AL30" s="1275">
        <v>10974</v>
      </c>
      <c r="AM30" s="1275">
        <v>19827</v>
      </c>
      <c r="AN30" s="1275">
        <v>19611</v>
      </c>
      <c r="AO30" s="1276">
        <v>19277</v>
      </c>
      <c r="AP30" s="1307">
        <v>18047</v>
      </c>
      <c r="AQ30" s="1307">
        <v>17390</v>
      </c>
      <c r="AR30" s="1307">
        <v>15755</v>
      </c>
      <c r="AS30" s="1308">
        <v>18271</v>
      </c>
      <c r="AT30" s="1309">
        <v>16375</v>
      </c>
      <c r="AU30" s="1308">
        <v>14413</v>
      </c>
      <c r="AV30" s="1308">
        <v>14287</v>
      </c>
      <c r="AW30" s="1308">
        <v>19107</v>
      </c>
      <c r="AX30" s="1055"/>
      <c r="AY30" s="1310">
        <v>87004</v>
      </c>
      <c r="AZ30" s="1280">
        <v>94688</v>
      </c>
      <c r="BA30" s="1026">
        <v>-7684</v>
      </c>
      <c r="BB30" s="1056">
        <v>-8.115072659682325E-2</v>
      </c>
      <c r="BC30" s="1244"/>
      <c r="BD30" s="1018">
        <v>87004</v>
      </c>
      <c r="BE30" s="1018">
        <v>94688</v>
      </c>
      <c r="BF30" s="1282">
        <v>83834</v>
      </c>
      <c r="BG30" s="1282">
        <v>89504</v>
      </c>
      <c r="BH30" s="1282">
        <v>69523</v>
      </c>
      <c r="BI30" s="1282">
        <v>67882</v>
      </c>
      <c r="BJ30" s="1282">
        <v>52153</v>
      </c>
      <c r="BK30" s="1282">
        <v>69689</v>
      </c>
      <c r="BL30" s="1282">
        <v>69463</v>
      </c>
      <c r="BM30" s="1282">
        <v>64182</v>
      </c>
      <c r="BN30" s="1054">
        <v>46227</v>
      </c>
      <c r="BO30" s="1054">
        <v>32171</v>
      </c>
      <c r="BP30" s="1054">
        <v>25189</v>
      </c>
      <c r="BQ30" s="972"/>
      <c r="BR30" s="963"/>
      <c r="BS30" s="1204"/>
    </row>
    <row r="31" spans="1:72" s="914" customFormat="1" x14ac:dyDescent="0.2">
      <c r="A31" s="971"/>
      <c r="B31" s="969" t="s">
        <v>71</v>
      </c>
      <c r="C31" s="979">
        <v>-748</v>
      </c>
      <c r="D31" s="1056">
        <v>-0.12196315017120496</v>
      </c>
      <c r="E31" s="937"/>
      <c r="F31" s="1190"/>
      <c r="G31" s="1190"/>
      <c r="H31" s="1190"/>
      <c r="I31" s="2283">
        <v>5385</v>
      </c>
      <c r="J31" s="1275">
        <v>6118</v>
      </c>
      <c r="K31" s="1275">
        <v>6635</v>
      </c>
      <c r="L31" s="1275">
        <v>6453</v>
      </c>
      <c r="M31" s="1276">
        <v>6133</v>
      </c>
      <c r="N31" s="1275">
        <v>6994</v>
      </c>
      <c r="O31" s="1275">
        <v>6587</v>
      </c>
      <c r="P31" s="1275">
        <v>7475</v>
      </c>
      <c r="Q31" s="1276">
        <v>7372</v>
      </c>
      <c r="R31" s="1275">
        <v>7455</v>
      </c>
      <c r="S31" s="1275">
        <v>6750</v>
      </c>
      <c r="T31" s="1275">
        <v>6020</v>
      </c>
      <c r="U31" s="1276">
        <v>6561</v>
      </c>
      <c r="V31" s="1275">
        <v>9490</v>
      </c>
      <c r="W31" s="1275">
        <v>8398</v>
      </c>
      <c r="X31" s="1275">
        <v>7755</v>
      </c>
      <c r="Y31" s="1276">
        <v>8136</v>
      </c>
      <c r="Z31" s="1275">
        <v>4350</v>
      </c>
      <c r="AA31" s="1275">
        <v>3906</v>
      </c>
      <c r="AB31" s="1275">
        <v>2947</v>
      </c>
      <c r="AC31" s="1276">
        <v>2905</v>
      </c>
      <c r="AD31" s="1275">
        <v>2966</v>
      </c>
      <c r="AE31" s="1275">
        <v>2786</v>
      </c>
      <c r="AF31" s="1275">
        <v>3706</v>
      </c>
      <c r="AG31" s="1276">
        <v>3284</v>
      </c>
      <c r="AH31" s="1275">
        <v>1878</v>
      </c>
      <c r="AI31" s="1275">
        <v>1904</v>
      </c>
      <c r="AJ31" s="1275">
        <v>1906</v>
      </c>
      <c r="AK31" s="1276">
        <v>1921</v>
      </c>
      <c r="AL31" s="1275">
        <v>2129</v>
      </c>
      <c r="AM31" s="1275">
        <v>2751</v>
      </c>
      <c r="AN31" s="1275">
        <v>2072</v>
      </c>
      <c r="AO31" s="1276">
        <v>2042</v>
      </c>
      <c r="AP31" s="1307">
        <v>2216</v>
      </c>
      <c r="AQ31" s="1307">
        <v>2197</v>
      </c>
      <c r="AR31" s="1307">
        <v>2146</v>
      </c>
      <c r="AS31" s="1308">
        <v>1977</v>
      </c>
      <c r="AT31" s="1309">
        <v>1999</v>
      </c>
      <c r="AU31" s="1308">
        <v>1797</v>
      </c>
      <c r="AV31" s="1308">
        <v>2366</v>
      </c>
      <c r="AW31" s="1308">
        <v>1989</v>
      </c>
      <c r="AX31" s="1055"/>
      <c r="AY31" s="1310">
        <v>25339</v>
      </c>
      <c r="AZ31" s="1280">
        <v>28428</v>
      </c>
      <c r="BA31" s="1026">
        <v>-3089</v>
      </c>
      <c r="BB31" s="1056">
        <v>-0.108660475587449</v>
      </c>
      <c r="BC31" s="1244"/>
      <c r="BD31" s="1018">
        <v>25339</v>
      </c>
      <c r="BE31" s="1018">
        <v>28428</v>
      </c>
      <c r="BF31" s="1282">
        <v>26786</v>
      </c>
      <c r="BG31" s="1282">
        <v>33779</v>
      </c>
      <c r="BH31" s="1282">
        <v>14108</v>
      </c>
      <c r="BI31" s="1282">
        <v>12742</v>
      </c>
      <c r="BJ31" s="1282">
        <v>7609</v>
      </c>
      <c r="BK31" s="1282">
        <v>8994</v>
      </c>
      <c r="BL31" s="1282">
        <v>8536</v>
      </c>
      <c r="BM31" s="1282">
        <v>8151</v>
      </c>
      <c r="BN31" s="1054">
        <v>4817</v>
      </c>
      <c r="BO31" s="1054">
        <v>3185</v>
      </c>
      <c r="BP31" s="1054">
        <v>3565</v>
      </c>
      <c r="BQ31" s="972"/>
      <c r="BR31" s="963"/>
      <c r="BS31" s="1204"/>
    </row>
    <row r="32" spans="1:72" x14ac:dyDescent="0.2">
      <c r="A32" s="969"/>
      <c r="B32" s="969" t="s">
        <v>72</v>
      </c>
      <c r="C32" s="979">
        <v>-1960</v>
      </c>
      <c r="D32" s="1056">
        <v>-0.4837117472852912</v>
      </c>
      <c r="E32" s="937"/>
      <c r="F32" s="1190"/>
      <c r="G32" s="1190"/>
      <c r="H32" s="1190"/>
      <c r="I32" s="2283">
        <v>2092</v>
      </c>
      <c r="J32" s="1275">
        <v>12390</v>
      </c>
      <c r="K32" s="1275">
        <v>5739</v>
      </c>
      <c r="L32" s="1275">
        <v>3948</v>
      </c>
      <c r="M32" s="1276">
        <v>4052</v>
      </c>
      <c r="N32" s="1275">
        <v>9008</v>
      </c>
      <c r="O32" s="1275">
        <v>6680</v>
      </c>
      <c r="P32" s="1275">
        <v>3625</v>
      </c>
      <c r="Q32" s="1276">
        <v>5135</v>
      </c>
      <c r="R32" s="1275">
        <v>5065</v>
      </c>
      <c r="S32" s="1275">
        <v>3803</v>
      </c>
      <c r="T32" s="1275">
        <v>7671</v>
      </c>
      <c r="U32" s="1276">
        <v>4830</v>
      </c>
      <c r="V32" s="1275">
        <v>3715</v>
      </c>
      <c r="W32" s="1275">
        <v>6671</v>
      </c>
      <c r="X32" s="1275">
        <v>4515</v>
      </c>
      <c r="Y32" s="1276">
        <v>4625</v>
      </c>
      <c r="Z32" s="1275">
        <v>4867</v>
      </c>
      <c r="AA32" s="1275">
        <v>5755</v>
      </c>
      <c r="AB32" s="1275">
        <v>5041</v>
      </c>
      <c r="AC32" s="1276">
        <v>5530</v>
      </c>
      <c r="AD32" s="1275">
        <v>5516</v>
      </c>
      <c r="AE32" s="1275">
        <v>5792</v>
      </c>
      <c r="AF32" s="1275">
        <v>5787</v>
      </c>
      <c r="AG32" s="1276">
        <v>5292</v>
      </c>
      <c r="AH32" s="1275">
        <v>6839</v>
      </c>
      <c r="AI32" s="1275">
        <v>6720</v>
      </c>
      <c r="AJ32" s="1275">
        <v>5487</v>
      </c>
      <c r="AK32" s="1276">
        <v>5854</v>
      </c>
      <c r="AL32" s="1275">
        <v>7190</v>
      </c>
      <c r="AM32" s="1275">
        <v>7738</v>
      </c>
      <c r="AN32" s="1275">
        <v>6383</v>
      </c>
      <c r="AO32" s="1276">
        <v>7462</v>
      </c>
      <c r="AP32" s="1307">
        <v>9936</v>
      </c>
      <c r="AQ32" s="1307">
        <v>6774</v>
      </c>
      <c r="AR32" s="1307">
        <v>8166</v>
      </c>
      <c r="AS32" s="1308">
        <v>7173</v>
      </c>
      <c r="AT32" s="1309">
        <v>6341</v>
      </c>
      <c r="AU32" s="1308">
        <v>5247</v>
      </c>
      <c r="AV32" s="1308">
        <v>5789</v>
      </c>
      <c r="AW32" s="1308">
        <v>3867</v>
      </c>
      <c r="AX32" s="1055"/>
      <c r="AY32" s="1310">
        <v>26129</v>
      </c>
      <c r="AZ32" s="1280">
        <v>24448</v>
      </c>
      <c r="BA32" s="1281">
        <v>1681</v>
      </c>
      <c r="BB32" s="1056">
        <v>6.8758180628272256E-2</v>
      </c>
      <c r="BC32" s="1235"/>
      <c r="BD32" s="1018">
        <v>26129</v>
      </c>
      <c r="BE32" s="1018">
        <v>24448</v>
      </c>
      <c r="BF32" s="1282">
        <v>21369</v>
      </c>
      <c r="BG32" s="1282">
        <v>19526</v>
      </c>
      <c r="BH32" s="1282">
        <v>21193</v>
      </c>
      <c r="BI32" s="1282">
        <v>22387</v>
      </c>
      <c r="BJ32" s="1282">
        <v>24900</v>
      </c>
      <c r="BK32" s="1282">
        <v>28773</v>
      </c>
      <c r="BL32" s="1282">
        <v>32049</v>
      </c>
      <c r="BM32" s="1282">
        <v>21244</v>
      </c>
      <c r="BN32" s="1054">
        <v>9797</v>
      </c>
      <c r="BO32" s="1054">
        <v>7924</v>
      </c>
      <c r="BP32" s="1054">
        <v>8240</v>
      </c>
      <c r="BQ32" s="1266"/>
      <c r="BR32" s="1558"/>
      <c r="BS32" s="1201"/>
      <c r="BT32" s="1207"/>
    </row>
    <row r="33" spans="1:71" x14ac:dyDescent="0.2">
      <c r="A33" s="971"/>
      <c r="B33" s="969" t="s">
        <v>160</v>
      </c>
      <c r="C33" s="979">
        <v>0</v>
      </c>
      <c r="D33" s="1056">
        <v>0</v>
      </c>
      <c r="E33" s="937"/>
      <c r="F33" s="932"/>
      <c r="G33" s="932"/>
      <c r="H33" s="932"/>
      <c r="I33" s="2390">
        <v>0</v>
      </c>
      <c r="J33" s="1026">
        <v>13075</v>
      </c>
      <c r="K33" s="1026">
        <v>4277</v>
      </c>
      <c r="L33" s="1026">
        <v>0</v>
      </c>
      <c r="M33" s="1308">
        <v>0</v>
      </c>
      <c r="N33" s="1026">
        <v>22430</v>
      </c>
      <c r="O33" s="1026">
        <v>0</v>
      </c>
      <c r="P33" s="1026">
        <v>0</v>
      </c>
      <c r="Q33" s="1308">
        <v>2383</v>
      </c>
      <c r="R33" s="1026">
        <v>0</v>
      </c>
      <c r="S33" s="1026">
        <v>0</v>
      </c>
      <c r="T33" s="1026">
        <v>5486</v>
      </c>
      <c r="U33" s="1308">
        <v>0</v>
      </c>
      <c r="V33" s="1026">
        <v>6445</v>
      </c>
      <c r="W33" s="1026">
        <v>6310</v>
      </c>
      <c r="X33" s="1026">
        <v>18862</v>
      </c>
      <c r="Y33" s="1308">
        <v>0</v>
      </c>
      <c r="Z33" s="1026">
        <v>28961</v>
      </c>
      <c r="AA33" s="1026">
        <v>6292</v>
      </c>
      <c r="AB33" s="1026">
        <v>0</v>
      </c>
      <c r="AC33" s="1308">
        <v>0</v>
      </c>
      <c r="AD33" s="1026">
        <v>0</v>
      </c>
      <c r="AE33" s="1026">
        <v>0</v>
      </c>
      <c r="AF33" s="1026">
        <v>0</v>
      </c>
      <c r="AG33" s="1308">
        <v>0</v>
      </c>
      <c r="AH33" s="1026">
        <v>0</v>
      </c>
      <c r="AI33" s="1026">
        <v>0</v>
      </c>
      <c r="AJ33" s="1026">
        <v>0</v>
      </c>
      <c r="AK33" s="1308">
        <v>0</v>
      </c>
      <c r="AL33" s="1275">
        <v>142</v>
      </c>
      <c r="AM33" s="1275">
        <v>7520</v>
      </c>
      <c r="AN33" s="1026">
        <v>0</v>
      </c>
      <c r="AO33" s="1308">
        <v>0</v>
      </c>
      <c r="AP33" s="1307">
        <v>4000</v>
      </c>
      <c r="AQ33" s="1307">
        <v>0</v>
      </c>
      <c r="AR33" s="1307">
        <v>0</v>
      </c>
      <c r="AS33" s="1308">
        <v>0</v>
      </c>
      <c r="AT33" s="1309">
        <v>0</v>
      </c>
      <c r="AU33" s="1308">
        <v>0</v>
      </c>
      <c r="AV33" s="1308"/>
      <c r="AW33" s="1308"/>
      <c r="AX33" s="1055"/>
      <c r="AY33" s="1310">
        <v>17352</v>
      </c>
      <c r="AZ33" s="1281">
        <v>24813</v>
      </c>
      <c r="BA33" s="1281">
        <v>-7461</v>
      </c>
      <c r="BB33" s="1056">
        <v>-0.30068915487849113</v>
      </c>
      <c r="BC33" s="1235"/>
      <c r="BD33" s="1018">
        <v>17352</v>
      </c>
      <c r="BE33" s="1018">
        <v>24813</v>
      </c>
      <c r="BF33" s="1282">
        <v>5486</v>
      </c>
      <c r="BG33" s="1282">
        <v>31617</v>
      </c>
      <c r="BH33" s="1282">
        <v>35253</v>
      </c>
      <c r="BI33" s="1279">
        <v>0</v>
      </c>
      <c r="BJ33" s="1279">
        <v>0</v>
      </c>
      <c r="BK33" s="1279">
        <v>7662</v>
      </c>
      <c r="BL33" s="1279">
        <v>4000</v>
      </c>
      <c r="BM33" s="1279">
        <v>0</v>
      </c>
      <c r="BN33" s="1054">
        <v>0</v>
      </c>
      <c r="BO33" s="1054">
        <v>0</v>
      </c>
      <c r="BP33" s="1054">
        <v>0</v>
      </c>
      <c r="BQ33" s="1266"/>
      <c r="BS33" s="1201"/>
    </row>
    <row r="34" spans="1:71" x14ac:dyDescent="0.2">
      <c r="A34" s="969"/>
      <c r="B34" s="969" t="s">
        <v>181</v>
      </c>
      <c r="C34" s="979">
        <v>0</v>
      </c>
      <c r="D34" s="1056">
        <v>0</v>
      </c>
      <c r="E34" s="937"/>
      <c r="F34" s="932"/>
      <c r="G34" s="932"/>
      <c r="H34" s="932"/>
      <c r="I34" s="2390">
        <v>0</v>
      </c>
      <c r="J34" s="1026">
        <v>0</v>
      </c>
      <c r="K34" s="1026">
        <v>0</v>
      </c>
      <c r="L34" s="1026">
        <v>0</v>
      </c>
      <c r="M34" s="1308">
        <v>0</v>
      </c>
      <c r="N34" s="1026">
        <v>0</v>
      </c>
      <c r="O34" s="1026">
        <v>0</v>
      </c>
      <c r="P34" s="1026">
        <v>0</v>
      </c>
      <c r="Q34" s="1308">
        <v>0</v>
      </c>
      <c r="R34" s="1026">
        <v>0</v>
      </c>
      <c r="S34" s="1026">
        <v>0</v>
      </c>
      <c r="T34" s="1026">
        <v>0</v>
      </c>
      <c r="U34" s="1308">
        <v>0</v>
      </c>
      <c r="V34" s="1026">
        <v>0</v>
      </c>
      <c r="W34" s="1026">
        <v>431</v>
      </c>
      <c r="X34" s="1026">
        <v>1288</v>
      </c>
      <c r="Y34" s="1308">
        <v>0</v>
      </c>
      <c r="Z34" s="1026">
        <v>10400</v>
      </c>
      <c r="AA34" s="1026">
        <v>2700</v>
      </c>
      <c r="AB34" s="1026">
        <v>2956</v>
      </c>
      <c r="AC34" s="1308">
        <v>0</v>
      </c>
      <c r="AD34" s="1026">
        <v>0</v>
      </c>
      <c r="AE34" s="1026">
        <v>1750</v>
      </c>
      <c r="AF34" s="1026">
        <v>0</v>
      </c>
      <c r="AG34" s="1308">
        <v>10990</v>
      </c>
      <c r="AH34" s="1026">
        <v>5000</v>
      </c>
      <c r="AI34" s="1026">
        <v>0</v>
      </c>
      <c r="AJ34" s="1026">
        <v>0</v>
      </c>
      <c r="AK34" s="1308">
        <v>0</v>
      </c>
      <c r="AL34" s="1026">
        <v>0</v>
      </c>
      <c r="AM34" s="1026">
        <v>0</v>
      </c>
      <c r="AN34" s="1026">
        <v>0</v>
      </c>
      <c r="AO34" s="1308">
        <v>0</v>
      </c>
      <c r="AP34" s="1307">
        <v>0</v>
      </c>
      <c r="AQ34" s="1307"/>
      <c r="AR34" s="1307"/>
      <c r="AS34" s="1308"/>
      <c r="AT34" s="1309"/>
      <c r="AU34" s="1308"/>
      <c r="AV34" s="1308"/>
      <c r="AW34" s="1308"/>
      <c r="AX34" s="1055"/>
      <c r="AY34" s="1026">
        <v>0</v>
      </c>
      <c r="AZ34" s="1281">
        <v>0</v>
      </c>
      <c r="BA34" s="1281">
        <v>0</v>
      </c>
      <c r="BB34" s="1056">
        <v>0</v>
      </c>
      <c r="BC34" s="1235"/>
      <c r="BD34" s="1018">
        <v>0</v>
      </c>
      <c r="BE34" s="1311">
        <v>0</v>
      </c>
      <c r="BF34" s="1311">
        <v>0</v>
      </c>
      <c r="BG34" s="1282">
        <v>1719</v>
      </c>
      <c r="BH34" s="1282">
        <v>16056</v>
      </c>
      <c r="BI34" s="1282">
        <v>12740</v>
      </c>
      <c r="BJ34" s="1279">
        <v>5000</v>
      </c>
      <c r="BK34" s="1279">
        <v>0</v>
      </c>
      <c r="BL34" s="1312">
        <v>0</v>
      </c>
      <c r="BM34" s="1279">
        <v>0</v>
      </c>
      <c r="BN34" s="1054">
        <v>0</v>
      </c>
      <c r="BO34" s="1054"/>
      <c r="BP34" s="1054"/>
      <c r="BQ34" s="1266"/>
    </row>
    <row r="35" spans="1:71" x14ac:dyDescent="0.2">
      <c r="A35" s="969"/>
      <c r="B35" s="969" t="s">
        <v>442</v>
      </c>
      <c r="C35" s="979">
        <v>0</v>
      </c>
      <c r="D35" s="1056">
        <v>0</v>
      </c>
      <c r="E35" s="937"/>
      <c r="F35" s="932"/>
      <c r="G35" s="932"/>
      <c r="H35" s="932"/>
      <c r="I35" s="2390">
        <v>0</v>
      </c>
      <c r="J35" s="1026">
        <v>0</v>
      </c>
      <c r="K35" s="1026">
        <v>321037</v>
      </c>
      <c r="L35" s="1026">
        <v>0</v>
      </c>
      <c r="M35" s="1308">
        <v>0</v>
      </c>
      <c r="N35" s="1026">
        <v>10000</v>
      </c>
      <c r="O35" s="1026">
        <v>4535</v>
      </c>
      <c r="P35" s="1026">
        <v>0</v>
      </c>
      <c r="Q35" s="1308">
        <v>0</v>
      </c>
      <c r="R35" s="1026">
        <v>0</v>
      </c>
      <c r="S35" s="1026">
        <v>0</v>
      </c>
      <c r="T35" s="1026">
        <v>0</v>
      </c>
      <c r="U35" s="1308">
        <v>0</v>
      </c>
      <c r="V35" s="1026">
        <v>0</v>
      </c>
      <c r="W35" s="1026">
        <v>0</v>
      </c>
      <c r="X35" s="1026"/>
      <c r="Y35" s="1308"/>
      <c r="Z35" s="1026"/>
      <c r="AA35" s="1026">
        <v>0</v>
      </c>
      <c r="AB35" s="1026">
        <v>0</v>
      </c>
      <c r="AC35" s="1308">
        <v>0</v>
      </c>
      <c r="AD35" s="1026">
        <v>0</v>
      </c>
      <c r="AE35" s="1026">
        <v>0</v>
      </c>
      <c r="AF35" s="1026">
        <v>0</v>
      </c>
      <c r="AG35" s="1308">
        <v>0</v>
      </c>
      <c r="AH35" s="1026">
        <v>0</v>
      </c>
      <c r="AI35" s="1026">
        <v>0</v>
      </c>
      <c r="AJ35" s="1026">
        <v>0</v>
      </c>
      <c r="AK35" s="1308">
        <v>0</v>
      </c>
      <c r="AL35" s="1026">
        <v>0</v>
      </c>
      <c r="AM35" s="1026">
        <v>31524</v>
      </c>
      <c r="AN35" s="1026">
        <v>0</v>
      </c>
      <c r="AO35" s="1308">
        <v>0</v>
      </c>
      <c r="AP35" s="1307">
        <v>0</v>
      </c>
      <c r="AQ35" s="1307">
        <v>0</v>
      </c>
      <c r="AR35" s="1307">
        <v>0</v>
      </c>
      <c r="AS35" s="1308">
        <v>0</v>
      </c>
      <c r="AT35" s="1309">
        <v>0</v>
      </c>
      <c r="AU35" s="1308">
        <v>0</v>
      </c>
      <c r="AV35" s="1308"/>
      <c r="AW35" s="1308"/>
      <c r="AX35" s="1055"/>
      <c r="AY35" s="1026">
        <v>321037</v>
      </c>
      <c r="AZ35" s="1281">
        <v>14535</v>
      </c>
      <c r="BA35" s="1281">
        <v>306502</v>
      </c>
      <c r="BB35" s="1056" t="s">
        <v>42</v>
      </c>
      <c r="BC35" s="1235"/>
      <c r="BD35" s="1018">
        <v>321037</v>
      </c>
      <c r="BE35" s="1314">
        <v>14535</v>
      </c>
      <c r="BF35" s="1311">
        <v>0</v>
      </c>
      <c r="BG35" s="1311">
        <v>0</v>
      </c>
      <c r="BH35" s="1311">
        <v>0</v>
      </c>
      <c r="BI35" s="1279">
        <v>0</v>
      </c>
      <c r="BJ35" s="1279">
        <v>0</v>
      </c>
      <c r="BK35" s="1279">
        <v>31524</v>
      </c>
      <c r="BL35" s="1312">
        <v>0</v>
      </c>
      <c r="BM35" s="1279">
        <v>0</v>
      </c>
      <c r="BN35" s="1054">
        <v>0</v>
      </c>
      <c r="BO35" s="1054">
        <v>0</v>
      </c>
      <c r="BP35" s="1054">
        <v>0</v>
      </c>
      <c r="BQ35" s="1266"/>
      <c r="BS35" s="1201"/>
    </row>
    <row r="36" spans="1:71" x14ac:dyDescent="0.2">
      <c r="A36" s="971"/>
      <c r="B36" s="969"/>
      <c r="C36" s="1237">
        <v>-5838</v>
      </c>
      <c r="D36" s="1232">
        <v>-2.8899988614255943E-2</v>
      </c>
      <c r="E36" s="937"/>
      <c r="F36" s="1208">
        <v>0</v>
      </c>
      <c r="G36" s="1208">
        <v>0</v>
      </c>
      <c r="H36" s="1208">
        <v>0</v>
      </c>
      <c r="I36" s="2286">
        <v>196169</v>
      </c>
      <c r="J36" s="1315">
        <v>228210</v>
      </c>
      <c r="K36" s="1315">
        <v>532456</v>
      </c>
      <c r="L36" s="1315">
        <v>189103</v>
      </c>
      <c r="M36" s="1286">
        <v>202007</v>
      </c>
      <c r="N36" s="1315">
        <v>260835</v>
      </c>
      <c r="O36" s="1315">
        <v>191991</v>
      </c>
      <c r="P36" s="1315">
        <v>211326</v>
      </c>
      <c r="Q36" s="1286">
        <v>222268</v>
      </c>
      <c r="R36" s="1315">
        <v>221737</v>
      </c>
      <c r="S36" s="1315">
        <v>206539</v>
      </c>
      <c r="T36" s="1315">
        <v>184262</v>
      </c>
      <c r="U36" s="1286">
        <v>178118</v>
      </c>
      <c r="V36" s="1315">
        <v>211984</v>
      </c>
      <c r="W36" s="1315">
        <v>216882</v>
      </c>
      <c r="X36" s="1315">
        <v>204910</v>
      </c>
      <c r="Y36" s="1286">
        <v>187048</v>
      </c>
      <c r="Z36" s="1315">
        <v>207731</v>
      </c>
      <c r="AA36" s="1315">
        <v>142822</v>
      </c>
      <c r="AB36" s="1315">
        <v>126396</v>
      </c>
      <c r="AC36" s="1286">
        <v>144034</v>
      </c>
      <c r="AD36" s="1315">
        <v>189279</v>
      </c>
      <c r="AE36" s="1315">
        <v>192918</v>
      </c>
      <c r="AF36" s="1315">
        <v>134676</v>
      </c>
      <c r="AG36" s="1286">
        <v>144286</v>
      </c>
      <c r="AH36" s="1315">
        <v>137658</v>
      </c>
      <c r="AI36" s="1315">
        <v>150887</v>
      </c>
      <c r="AJ36" s="1315">
        <v>115883</v>
      </c>
      <c r="AK36" s="1286">
        <v>121468</v>
      </c>
      <c r="AL36" s="1315">
        <v>100311</v>
      </c>
      <c r="AM36" s="1315">
        <v>159625</v>
      </c>
      <c r="AN36" s="1315">
        <v>115805</v>
      </c>
      <c r="AO36" s="1286">
        <v>149179</v>
      </c>
      <c r="AP36" s="1316">
        <v>194004</v>
      </c>
      <c r="AQ36" s="1316">
        <v>159043</v>
      </c>
      <c r="AR36" s="1316">
        <v>139741</v>
      </c>
      <c r="AS36" s="1317">
        <v>187220</v>
      </c>
      <c r="AT36" s="1318">
        <v>176307</v>
      </c>
      <c r="AU36" s="1317">
        <v>144677</v>
      </c>
      <c r="AV36" s="1317">
        <v>130781</v>
      </c>
      <c r="AW36" s="1317">
        <v>166952</v>
      </c>
      <c r="AX36" s="1055"/>
      <c r="AY36" s="1315">
        <v>1151776</v>
      </c>
      <c r="AZ36" s="1315">
        <v>886420</v>
      </c>
      <c r="BA36" s="1287">
        <v>265356</v>
      </c>
      <c r="BB36" s="1319">
        <v>0.29935696396741951</v>
      </c>
      <c r="BC36" s="1235"/>
      <c r="BD36" s="1291">
        <v>1151776</v>
      </c>
      <c r="BE36" s="1320">
        <v>886420</v>
      </c>
      <c r="BF36" s="1320">
        <v>790656</v>
      </c>
      <c r="BG36" s="1320">
        <v>820824</v>
      </c>
      <c r="BH36" s="1320">
        <v>620983</v>
      </c>
      <c r="BI36" s="1320">
        <v>661159</v>
      </c>
      <c r="BJ36" s="1320">
        <v>525896</v>
      </c>
      <c r="BK36" s="1320">
        <v>524920</v>
      </c>
      <c r="BL36" s="1291">
        <v>680008</v>
      </c>
      <c r="BM36" s="1291">
        <v>618717</v>
      </c>
      <c r="BN36" s="1292">
        <f>SUM(BN24:BN35)</f>
        <v>466018</v>
      </c>
      <c r="BO36" s="1292">
        <v>360022</v>
      </c>
      <c r="BP36" s="1292">
        <v>339600</v>
      </c>
      <c r="BQ36" s="1266"/>
      <c r="BS36" s="1201"/>
    </row>
    <row r="37" spans="1:71" ht="9" customHeight="1" x14ac:dyDescent="0.2">
      <c r="A37" s="971"/>
      <c r="B37" s="969"/>
      <c r="C37" s="1238"/>
      <c r="D37" s="1056"/>
      <c r="E37" s="937"/>
      <c r="F37" s="1190"/>
      <c r="G37" s="1190"/>
      <c r="H37" s="1190"/>
      <c r="I37" s="1200"/>
      <c r="J37" s="1275"/>
      <c r="K37" s="1275"/>
      <c r="L37" s="1275"/>
      <c r="M37" s="1306"/>
      <c r="N37" s="1275"/>
      <c r="O37" s="1275"/>
      <c r="P37" s="1275"/>
      <c r="Q37" s="1306"/>
      <c r="R37" s="1275"/>
      <c r="S37" s="1275"/>
      <c r="T37" s="1275"/>
      <c r="U37" s="1276"/>
      <c r="V37" s="1275"/>
      <c r="W37" s="1275"/>
      <c r="X37" s="1275"/>
      <c r="Y37" s="1276"/>
      <c r="Z37" s="1275"/>
      <c r="AA37" s="1275"/>
      <c r="AB37" s="1275"/>
      <c r="AC37" s="1276"/>
      <c r="AD37" s="1275"/>
      <c r="AE37" s="1275"/>
      <c r="AF37" s="1275"/>
      <c r="AG37" s="1276"/>
      <c r="AH37" s="1275"/>
      <c r="AI37" s="1275"/>
      <c r="AJ37" s="1275"/>
      <c r="AK37" s="1276"/>
      <c r="AL37" s="1275"/>
      <c r="AM37" s="1275"/>
      <c r="AN37" s="1275"/>
      <c r="AO37" s="1276"/>
      <c r="AP37" s="1307"/>
      <c r="AQ37" s="1307"/>
      <c r="AR37" s="1307"/>
      <c r="AS37" s="1308"/>
      <c r="AT37" s="1309"/>
      <c r="AU37" s="1308"/>
      <c r="AV37" s="1308"/>
      <c r="AW37" s="1308"/>
      <c r="AX37" s="1055"/>
      <c r="AY37" s="1275"/>
      <c r="AZ37" s="1275"/>
      <c r="BA37" s="1281"/>
      <c r="BB37" s="1321"/>
      <c r="BC37" s="1235"/>
      <c r="BD37" s="1314"/>
      <c r="BE37" s="1314"/>
      <c r="BF37" s="1314"/>
      <c r="BG37" s="1314"/>
      <c r="BH37" s="1314"/>
      <c r="BI37" s="1314"/>
      <c r="BJ37" s="1314"/>
      <c r="BK37" s="1314"/>
      <c r="BL37" s="1282"/>
      <c r="BM37" s="1282"/>
      <c r="BN37" s="1054"/>
      <c r="BO37" s="1054"/>
      <c r="BP37" s="1054"/>
      <c r="BQ37" s="1266"/>
    </row>
    <row r="38" spans="1:71" s="1211" customFormat="1" ht="12.75" customHeight="1" x14ac:dyDescent="0.2">
      <c r="A38" s="1239" t="s">
        <v>74</v>
      </c>
      <c r="B38" s="970"/>
      <c r="C38" s="1240">
        <v>-2436</v>
      </c>
      <c r="D38" s="1056">
        <v>-0.19570980959267292</v>
      </c>
      <c r="E38" s="937"/>
      <c r="F38" s="1209">
        <v>0</v>
      </c>
      <c r="G38" s="1209">
        <v>0</v>
      </c>
      <c r="H38" s="1209">
        <v>0</v>
      </c>
      <c r="I38" s="2283">
        <v>10011</v>
      </c>
      <c r="J38" s="1322">
        <v>-27298</v>
      </c>
      <c r="K38" s="1322">
        <v>-350619</v>
      </c>
      <c r="L38" s="1322">
        <v>1499</v>
      </c>
      <c r="M38" s="1276">
        <v>12447</v>
      </c>
      <c r="N38" s="1322">
        <v>-28370</v>
      </c>
      <c r="O38" s="1322">
        <v>-25520</v>
      </c>
      <c r="P38" s="1322">
        <v>24945</v>
      </c>
      <c r="Q38" s="1276">
        <v>23288</v>
      </c>
      <c r="R38" s="1323">
        <v>32011</v>
      </c>
      <c r="S38" s="1323">
        <v>24420</v>
      </c>
      <c r="T38" s="1322">
        <v>-956</v>
      </c>
      <c r="U38" s="1276">
        <v>9113</v>
      </c>
      <c r="V38" s="1323">
        <v>5987</v>
      </c>
      <c r="W38" s="1323">
        <v>13121</v>
      </c>
      <c r="X38" s="1322">
        <v>-18311</v>
      </c>
      <c r="Y38" s="1293">
        <v>-24499</v>
      </c>
      <c r="Z38" s="1322">
        <v>-30039</v>
      </c>
      <c r="AA38" s="1322">
        <v>5067</v>
      </c>
      <c r="AB38" s="1322">
        <v>-6896</v>
      </c>
      <c r="AC38" s="1293">
        <v>15749</v>
      </c>
      <c r="AD38" s="1322">
        <v>58316</v>
      </c>
      <c r="AE38" s="1322">
        <v>61916</v>
      </c>
      <c r="AF38" s="1322">
        <v>14609</v>
      </c>
      <c r="AG38" s="1293">
        <v>7631</v>
      </c>
      <c r="AH38" s="1322">
        <v>5475</v>
      </c>
      <c r="AI38" s="1322">
        <v>22310</v>
      </c>
      <c r="AJ38" s="1322">
        <v>7861</v>
      </c>
      <c r="AK38" s="1293">
        <v>15995</v>
      </c>
      <c r="AL38" s="1322">
        <v>6685</v>
      </c>
      <c r="AM38" s="1322">
        <v>-72437</v>
      </c>
      <c r="AN38" s="1322">
        <v>-4976</v>
      </c>
      <c r="AO38" s="1293">
        <v>23529</v>
      </c>
      <c r="AP38" s="1324">
        <v>-50558</v>
      </c>
      <c r="AQ38" s="1324">
        <v>24311</v>
      </c>
      <c r="AR38" s="1324">
        <v>19128</v>
      </c>
      <c r="AS38" s="1293">
        <v>58650</v>
      </c>
      <c r="AT38" s="1314">
        <v>40136</v>
      </c>
      <c r="AU38" s="1293">
        <v>33636</v>
      </c>
      <c r="AV38" s="1293">
        <v>25250</v>
      </c>
      <c r="AW38" s="1293">
        <v>39175</v>
      </c>
      <c r="AX38" s="1314"/>
      <c r="AY38" s="1322">
        <v>-363971</v>
      </c>
      <c r="AZ38" s="1322">
        <v>-5657</v>
      </c>
      <c r="BA38" s="1294">
        <v>-358314</v>
      </c>
      <c r="BB38" s="1056" t="s">
        <v>42</v>
      </c>
      <c r="BC38" s="1235"/>
      <c r="BD38" s="1314">
        <v>-363971</v>
      </c>
      <c r="BE38" s="1314">
        <v>-5657</v>
      </c>
      <c r="BF38" s="1314">
        <v>64588</v>
      </c>
      <c r="BG38" s="1314">
        <v>-23702</v>
      </c>
      <c r="BH38" s="1314">
        <v>-16119</v>
      </c>
      <c r="BI38" s="1314">
        <v>142472</v>
      </c>
      <c r="BJ38" s="1314">
        <v>51641</v>
      </c>
      <c r="BK38" s="1314">
        <v>-47199</v>
      </c>
      <c r="BL38" s="1282">
        <v>51531</v>
      </c>
      <c r="BM38" s="1282">
        <v>138197</v>
      </c>
      <c r="BN38" s="1054">
        <f>BN20-BN36</f>
        <v>117397</v>
      </c>
      <c r="BO38" s="1054">
        <v>72756</v>
      </c>
      <c r="BP38" s="1054">
        <v>62557</v>
      </c>
      <c r="BQ38" s="1325"/>
      <c r="BR38" s="2210"/>
    </row>
    <row r="39" spans="1:71" ht="9" customHeight="1" x14ac:dyDescent="0.2">
      <c r="A39" s="971"/>
      <c r="B39" s="969"/>
      <c r="C39" s="1240"/>
      <c r="D39" s="1056"/>
      <c r="E39" s="937"/>
      <c r="F39" s="1190"/>
      <c r="G39" s="1190"/>
      <c r="H39" s="1195"/>
      <c r="I39" s="2291"/>
      <c r="J39" s="1275"/>
      <c r="K39" s="1275"/>
      <c r="L39" s="1248"/>
      <c r="M39" s="1326"/>
      <c r="N39" s="1275"/>
      <c r="O39" s="1275"/>
      <c r="P39" s="1248"/>
      <c r="Q39" s="1326"/>
      <c r="R39" s="1275"/>
      <c r="S39" s="1275"/>
      <c r="T39" s="1248"/>
      <c r="U39" s="1326"/>
      <c r="V39" s="1275"/>
      <c r="W39" s="1275"/>
      <c r="X39" s="1248"/>
      <c r="Y39" s="1293"/>
      <c r="Z39" s="1248"/>
      <c r="AA39" s="1248"/>
      <c r="AB39" s="1248"/>
      <c r="AC39" s="1293"/>
      <c r="AD39" s="1248"/>
      <c r="AE39" s="1248"/>
      <c r="AF39" s="1248"/>
      <c r="AG39" s="1293"/>
      <c r="AH39" s="1248"/>
      <c r="AI39" s="1248"/>
      <c r="AJ39" s="1248"/>
      <c r="AK39" s="1293"/>
      <c r="AL39" s="1248"/>
      <c r="AM39" s="1248"/>
      <c r="AN39" s="1248"/>
      <c r="AO39" s="1293"/>
      <c r="AP39" s="1324"/>
      <c r="AQ39" s="1324"/>
      <c r="AR39" s="1324"/>
      <c r="AS39" s="1293"/>
      <c r="AT39" s="1314"/>
      <c r="AU39" s="1293"/>
      <c r="AV39" s="1293"/>
      <c r="AW39" s="1293"/>
      <c r="AX39" s="1314"/>
      <c r="AY39" s="1248"/>
      <c r="AZ39" s="1248"/>
      <c r="BA39" s="1294"/>
      <c r="BB39" s="1321"/>
      <c r="BC39" s="1235"/>
      <c r="BD39" s="1493"/>
      <c r="BE39" s="1297"/>
      <c r="BF39" s="1297"/>
      <c r="BG39" s="1297"/>
      <c r="BH39" s="1297"/>
      <c r="BI39" s="1297"/>
      <c r="BJ39" s="1297"/>
      <c r="BK39" s="1297"/>
      <c r="BL39" s="1327"/>
      <c r="BM39" s="1282"/>
      <c r="BN39" s="1054"/>
      <c r="BO39" s="1054"/>
      <c r="BP39" s="1054"/>
      <c r="BQ39" s="1266"/>
    </row>
    <row r="40" spans="1:71" ht="12.75" customHeight="1" x14ac:dyDescent="0.2">
      <c r="A40" s="1235"/>
      <c r="B40" s="1235" t="s">
        <v>6</v>
      </c>
      <c r="C40" s="1240">
        <v>1070</v>
      </c>
      <c r="D40" s="1056">
        <v>0.72005383580080751</v>
      </c>
      <c r="E40" s="937"/>
      <c r="F40" s="1195"/>
      <c r="G40" s="1195"/>
      <c r="H40" s="1195"/>
      <c r="I40" s="2291">
        <v>2556</v>
      </c>
      <c r="J40" s="1248">
        <v>-4589</v>
      </c>
      <c r="K40" s="1248">
        <v>-4231</v>
      </c>
      <c r="L40" s="1248">
        <v>1930</v>
      </c>
      <c r="M40" s="1326">
        <v>1486</v>
      </c>
      <c r="N40" s="1248">
        <v>-2048</v>
      </c>
      <c r="O40" s="1248">
        <v>-4041</v>
      </c>
      <c r="P40" s="1248">
        <v>7331</v>
      </c>
      <c r="Q40" s="1326">
        <v>4419</v>
      </c>
      <c r="R40" s="1275">
        <v>6091</v>
      </c>
      <c r="S40" s="1275">
        <v>6086</v>
      </c>
      <c r="T40" s="1248">
        <v>-876</v>
      </c>
      <c r="U40" s="1326">
        <v>1230</v>
      </c>
      <c r="V40" s="1248">
        <v>-437</v>
      </c>
      <c r="W40" s="1275">
        <v>2857</v>
      </c>
      <c r="X40" s="1248">
        <v>-3470</v>
      </c>
      <c r="Y40" s="1293">
        <v>-3877</v>
      </c>
      <c r="Z40" s="1248">
        <v>1755</v>
      </c>
      <c r="AA40" s="1248">
        <v>2536</v>
      </c>
      <c r="AB40" s="1248">
        <v>-1618</v>
      </c>
      <c r="AC40" s="1293">
        <v>2554</v>
      </c>
      <c r="AD40" s="1248">
        <v>16993</v>
      </c>
      <c r="AE40" s="1248">
        <v>18919</v>
      </c>
      <c r="AF40" s="1248">
        <v>4358</v>
      </c>
      <c r="AG40" s="1293">
        <v>2459</v>
      </c>
      <c r="AH40" s="1248">
        <v>-2051</v>
      </c>
      <c r="AI40" s="1248">
        <v>7197</v>
      </c>
      <c r="AJ40" s="1248">
        <v>1115</v>
      </c>
      <c r="AK40" s="1293">
        <v>6883</v>
      </c>
      <c r="AL40" s="1248">
        <v>3019</v>
      </c>
      <c r="AM40" s="1248">
        <v>-10059</v>
      </c>
      <c r="AN40" s="1248">
        <v>422</v>
      </c>
      <c r="AO40" s="1293">
        <v>7070</v>
      </c>
      <c r="AP40" s="1324">
        <v>-15404</v>
      </c>
      <c r="AQ40" s="1324">
        <v>9263</v>
      </c>
      <c r="AR40" s="1324">
        <v>6717</v>
      </c>
      <c r="AS40" s="1293">
        <v>19621</v>
      </c>
      <c r="AT40" s="1314">
        <v>14120</v>
      </c>
      <c r="AU40" s="1293">
        <v>9944</v>
      </c>
      <c r="AV40" s="1293">
        <v>7444</v>
      </c>
      <c r="AW40" s="1293">
        <v>13233</v>
      </c>
      <c r="AX40" s="1314"/>
      <c r="AY40" s="1322">
        <v>-5404</v>
      </c>
      <c r="AZ40" s="1294">
        <v>5661</v>
      </c>
      <c r="BA40" s="1294">
        <v>-11065</v>
      </c>
      <c r="BB40" s="1056">
        <v>-1.9546016604840135</v>
      </c>
      <c r="BC40" s="1235"/>
      <c r="BD40" s="1018">
        <v>-5404</v>
      </c>
      <c r="BE40" s="1314">
        <v>5661</v>
      </c>
      <c r="BF40" s="1314">
        <v>12531</v>
      </c>
      <c r="BG40" s="1314">
        <v>-4927</v>
      </c>
      <c r="BH40" s="1314">
        <v>5227</v>
      </c>
      <c r="BI40" s="1314">
        <v>42729</v>
      </c>
      <c r="BJ40" s="1297">
        <v>13144</v>
      </c>
      <c r="BK40" s="1297">
        <v>452</v>
      </c>
      <c r="BL40" s="1327">
        <v>20197</v>
      </c>
      <c r="BM40" s="1282">
        <v>44741</v>
      </c>
      <c r="BN40" s="1054">
        <v>37880</v>
      </c>
      <c r="BO40" s="1054">
        <v>24177</v>
      </c>
      <c r="BP40" s="1054">
        <v>22128</v>
      </c>
      <c r="BQ40" s="1266"/>
    </row>
    <row r="41" spans="1:71" ht="9" customHeight="1" x14ac:dyDescent="0.2">
      <c r="A41" s="1235"/>
      <c r="B41" s="1235"/>
      <c r="C41" s="1240"/>
      <c r="D41" s="1056"/>
      <c r="E41" s="937"/>
      <c r="F41" s="1190"/>
      <c r="G41" s="1190"/>
      <c r="H41" s="1190"/>
      <c r="I41" s="2283"/>
      <c r="J41" s="1275"/>
      <c r="K41" s="1275"/>
      <c r="L41" s="1275"/>
      <c r="M41" s="1276"/>
      <c r="N41" s="1275"/>
      <c r="O41" s="1275"/>
      <c r="P41" s="1275"/>
      <c r="Q41" s="1276"/>
      <c r="R41" s="1275"/>
      <c r="S41" s="1275"/>
      <c r="T41" s="1275"/>
      <c r="U41" s="1276"/>
      <c r="V41" s="1275"/>
      <c r="W41" s="1275"/>
      <c r="X41" s="1248"/>
      <c r="Y41" s="1293"/>
      <c r="Z41" s="1300"/>
      <c r="AA41" s="1248"/>
      <c r="AB41" s="1248"/>
      <c r="AC41" s="1293"/>
      <c r="AD41" s="1300"/>
      <c r="AE41" s="1248"/>
      <c r="AF41" s="1248"/>
      <c r="AG41" s="1293"/>
      <c r="AH41" s="1300"/>
      <c r="AI41" s="1248"/>
      <c r="AJ41" s="1248"/>
      <c r="AK41" s="1293"/>
      <c r="AL41" s="1248"/>
      <c r="AM41" s="1248"/>
      <c r="AN41" s="1248"/>
      <c r="AO41" s="1293"/>
      <c r="AP41" s="1324"/>
      <c r="AQ41" s="1324"/>
      <c r="AR41" s="1324"/>
      <c r="AS41" s="1293"/>
      <c r="AT41" s="1328"/>
      <c r="AU41" s="1301"/>
      <c r="AV41" s="1293"/>
      <c r="AW41" s="1293"/>
      <c r="AX41" s="1314"/>
      <c r="AY41" s="1300"/>
      <c r="AZ41" s="1248"/>
      <c r="BA41" s="1294"/>
      <c r="BB41" s="1321"/>
      <c r="BC41" s="1235"/>
      <c r="BD41" s="1551"/>
      <c r="BE41" s="1314"/>
      <c r="BF41" s="1314"/>
      <c r="BG41" s="1314"/>
      <c r="BH41" s="1314"/>
      <c r="BI41" s="1314"/>
      <c r="BJ41" s="1314"/>
      <c r="BK41" s="1314"/>
      <c r="BL41" s="1282"/>
      <c r="BM41" s="1282"/>
      <c r="BN41" s="1329"/>
      <c r="BO41" s="1329"/>
      <c r="BP41" s="1329"/>
      <c r="BQ41" s="1266"/>
    </row>
    <row r="42" spans="1:71" ht="14.25" customHeight="1" thickBot="1" x14ac:dyDescent="0.25">
      <c r="A42" s="1239" t="s">
        <v>75</v>
      </c>
      <c r="B42" s="1235"/>
      <c r="C42" s="1237">
        <v>-3506</v>
      </c>
      <c r="D42" s="1232">
        <v>-0.31986132652130278</v>
      </c>
      <c r="E42" s="937"/>
      <c r="F42" s="1212">
        <v>0</v>
      </c>
      <c r="G42" s="1212">
        <v>0</v>
      </c>
      <c r="H42" s="1212">
        <v>0</v>
      </c>
      <c r="I42" s="2286">
        <v>7455</v>
      </c>
      <c r="J42" s="1330">
        <v>-22709</v>
      </c>
      <c r="K42" s="1330">
        <v>-346388</v>
      </c>
      <c r="L42" s="1330">
        <v>-431</v>
      </c>
      <c r="M42" s="1286">
        <v>10961</v>
      </c>
      <c r="N42" s="1330">
        <v>-26322</v>
      </c>
      <c r="O42" s="1330">
        <v>-21479</v>
      </c>
      <c r="P42" s="1330">
        <v>17614</v>
      </c>
      <c r="Q42" s="1286">
        <v>18869</v>
      </c>
      <c r="R42" s="1315">
        <v>25920</v>
      </c>
      <c r="S42" s="1315">
        <v>18334</v>
      </c>
      <c r="T42" s="1330">
        <v>-80</v>
      </c>
      <c r="U42" s="1286">
        <v>7883</v>
      </c>
      <c r="V42" s="1315">
        <v>6424</v>
      </c>
      <c r="W42" s="1315">
        <v>10264</v>
      </c>
      <c r="X42" s="1330">
        <v>-14841</v>
      </c>
      <c r="Y42" s="1331">
        <v>-20622</v>
      </c>
      <c r="Z42" s="1330">
        <v>-31794</v>
      </c>
      <c r="AA42" s="1330">
        <v>2531</v>
      </c>
      <c r="AB42" s="1330">
        <v>-5278</v>
      </c>
      <c r="AC42" s="1331">
        <v>13195</v>
      </c>
      <c r="AD42" s="1330">
        <v>41323</v>
      </c>
      <c r="AE42" s="1330">
        <v>42997</v>
      </c>
      <c r="AF42" s="1330">
        <v>10251</v>
      </c>
      <c r="AG42" s="1331">
        <v>5172</v>
      </c>
      <c r="AH42" s="1330">
        <v>7526</v>
      </c>
      <c r="AI42" s="1330">
        <v>15113</v>
      </c>
      <c r="AJ42" s="1330">
        <v>6746</v>
      </c>
      <c r="AK42" s="1332">
        <v>9112</v>
      </c>
      <c r="AL42" s="1333">
        <v>3666</v>
      </c>
      <c r="AM42" s="1333">
        <v>-62378</v>
      </c>
      <c r="AN42" s="1333">
        <v>-5398</v>
      </c>
      <c r="AO42" s="1332">
        <v>16459</v>
      </c>
      <c r="AP42" s="1333">
        <v>-35154</v>
      </c>
      <c r="AQ42" s="1333">
        <v>15048</v>
      </c>
      <c r="AR42" s="1333">
        <v>12411</v>
      </c>
      <c r="AS42" s="1332">
        <v>39029</v>
      </c>
      <c r="AT42" s="1334">
        <v>26016</v>
      </c>
      <c r="AU42" s="1332">
        <v>23692</v>
      </c>
      <c r="AV42" s="1332">
        <v>17806</v>
      </c>
      <c r="AW42" s="1332">
        <v>25942</v>
      </c>
      <c r="AX42" s="1314"/>
      <c r="AY42" s="1330">
        <v>-358567</v>
      </c>
      <c r="AZ42" s="1330">
        <v>-11318</v>
      </c>
      <c r="BA42" s="1335">
        <v>-347249</v>
      </c>
      <c r="BB42" s="1319" t="s">
        <v>42</v>
      </c>
      <c r="BC42" s="1235"/>
      <c r="BD42" s="1320">
        <v>-358567</v>
      </c>
      <c r="BE42" s="1320">
        <v>-11318</v>
      </c>
      <c r="BF42" s="1320">
        <v>52057</v>
      </c>
      <c r="BG42" s="1320">
        <v>-18775</v>
      </c>
      <c r="BH42" s="1320">
        <v>-21346</v>
      </c>
      <c r="BI42" s="1320">
        <v>99743</v>
      </c>
      <c r="BJ42" s="1320">
        <v>38497</v>
      </c>
      <c r="BK42" s="1320">
        <v>-47651</v>
      </c>
      <c r="BL42" s="1291">
        <v>31334</v>
      </c>
      <c r="BM42" s="1291">
        <v>93456</v>
      </c>
      <c r="BN42" s="1336">
        <f>BN38-BN40</f>
        <v>79517</v>
      </c>
      <c r="BO42" s="1336">
        <v>48579</v>
      </c>
      <c r="BP42" s="1336">
        <v>40429</v>
      </c>
      <c r="BQ42" s="1266"/>
    </row>
    <row r="43" spans="1:71" ht="9" customHeight="1" thickTop="1" x14ac:dyDescent="0.2">
      <c r="A43" s="1239"/>
      <c r="B43" s="1235"/>
      <c r="C43" s="1240"/>
      <c r="D43" s="1056"/>
      <c r="E43" s="937"/>
      <c r="F43" s="1210"/>
      <c r="G43" s="1210"/>
      <c r="H43" s="1210"/>
      <c r="I43" s="2283"/>
      <c r="J43" s="1323"/>
      <c r="K43" s="1323"/>
      <c r="L43" s="1323"/>
      <c r="M43" s="1276"/>
      <c r="N43" s="1323"/>
      <c r="O43" s="1323"/>
      <c r="P43" s="1323"/>
      <c r="Q43" s="1276"/>
      <c r="R43" s="1323"/>
      <c r="S43" s="1323"/>
      <c r="T43" s="1323"/>
      <c r="U43" s="1276"/>
      <c r="V43" s="1323"/>
      <c r="W43" s="1323"/>
      <c r="X43" s="1323"/>
      <c r="Y43" s="1276"/>
      <c r="Z43" s="1323"/>
      <c r="AA43" s="1323"/>
      <c r="AB43" s="1323"/>
      <c r="AC43" s="1276"/>
      <c r="AD43" s="1323"/>
      <c r="AE43" s="1323"/>
      <c r="AF43" s="1323"/>
      <c r="AG43" s="1276"/>
      <c r="AH43" s="1323"/>
      <c r="AI43" s="1323"/>
      <c r="AJ43" s="1323"/>
      <c r="AK43" s="1276"/>
      <c r="AL43" s="1323"/>
      <c r="AM43" s="1323"/>
      <c r="AN43" s="1323"/>
      <c r="AO43" s="1276"/>
      <c r="AP43" s="1026"/>
      <c r="AQ43" s="1026"/>
      <c r="AR43" s="1026"/>
      <c r="AS43" s="1308"/>
      <c r="AT43" s="1309"/>
      <c r="AU43" s="1308"/>
      <c r="AV43" s="1308"/>
      <c r="AW43" s="1308"/>
      <c r="AX43" s="1055"/>
      <c r="AY43" s="1323"/>
      <c r="AZ43" s="1323"/>
      <c r="BA43" s="1281"/>
      <c r="BB43" s="1321"/>
      <c r="BC43" s="1235"/>
      <c r="BD43" s="1282"/>
      <c r="BE43" s="1314"/>
      <c r="BF43" s="1314"/>
      <c r="BG43" s="1314"/>
      <c r="BH43" s="1314"/>
      <c r="BI43" s="1314"/>
      <c r="BJ43" s="1314"/>
      <c r="BK43" s="1314"/>
      <c r="BL43" s="1282"/>
      <c r="BM43" s="1282"/>
      <c r="BN43" s="1054"/>
      <c r="BO43" s="1054"/>
      <c r="BP43" s="1054"/>
      <c r="BQ43" s="1266"/>
    </row>
    <row r="44" spans="1:71" ht="14.25" customHeight="1" x14ac:dyDescent="0.2">
      <c r="A44" s="1239"/>
      <c r="B44" s="1235" t="s">
        <v>407</v>
      </c>
      <c r="C44" s="1240">
        <v>226</v>
      </c>
      <c r="D44" s="1056">
        <v>0.41316270566727603</v>
      </c>
      <c r="E44" s="937"/>
      <c r="F44" s="932"/>
      <c r="G44" s="932"/>
      <c r="H44" s="932"/>
      <c r="I44" s="2290">
        <v>773</v>
      </c>
      <c r="J44" s="1026">
        <v>-206</v>
      </c>
      <c r="K44" s="1026">
        <v>-111</v>
      </c>
      <c r="L44" s="1026">
        <v>-326</v>
      </c>
      <c r="M44" s="1308">
        <v>547</v>
      </c>
      <c r="N44" s="1026">
        <v>672</v>
      </c>
      <c r="O44" s="1026">
        <v>-99</v>
      </c>
      <c r="P44" s="1026">
        <v>505</v>
      </c>
      <c r="Q44" s="1308">
        <v>788</v>
      </c>
      <c r="R44" s="1026">
        <v>186</v>
      </c>
      <c r="S44" s="1026">
        <v>1013</v>
      </c>
      <c r="T44" s="1026">
        <v>303</v>
      </c>
      <c r="U44" s="1308">
        <v>-858</v>
      </c>
      <c r="V44" s="1026">
        <v>-406</v>
      </c>
      <c r="W44" s="1026">
        <v>-616</v>
      </c>
      <c r="X44" s="1026">
        <v>-279</v>
      </c>
      <c r="Y44" s="1308">
        <v>-655</v>
      </c>
      <c r="Z44" s="1026">
        <v>-544</v>
      </c>
      <c r="AA44" s="1026">
        <v>-495</v>
      </c>
      <c r="AB44" s="1026">
        <v>0</v>
      </c>
      <c r="AC44" s="1308">
        <v>0</v>
      </c>
      <c r="AD44" s="1026">
        <v>0</v>
      </c>
      <c r="AE44" s="1026">
        <v>0</v>
      </c>
      <c r="AF44" s="1026">
        <v>0</v>
      </c>
      <c r="AG44" s="1308">
        <v>0</v>
      </c>
      <c r="AH44" s="1026">
        <v>0</v>
      </c>
      <c r="AI44" s="1026">
        <v>0</v>
      </c>
      <c r="AJ44" s="1323"/>
      <c r="AK44" s="1276"/>
      <c r="AL44" s="1323"/>
      <c r="AM44" s="1323"/>
      <c r="AN44" s="1323"/>
      <c r="AO44" s="1276"/>
      <c r="AP44" s="1026"/>
      <c r="AQ44" s="1026"/>
      <c r="AR44" s="1026"/>
      <c r="AS44" s="1308"/>
      <c r="AT44" s="1309"/>
      <c r="AU44" s="1308"/>
      <c r="AV44" s="1308"/>
      <c r="AW44" s="1308"/>
      <c r="AX44" s="1055"/>
      <c r="AY44" s="1026">
        <v>-96</v>
      </c>
      <c r="AZ44" s="1281">
        <v>1866</v>
      </c>
      <c r="BA44" s="1281">
        <v>-1962</v>
      </c>
      <c r="BB44" s="1056">
        <v>-1.0514469453376205</v>
      </c>
      <c r="BC44" s="1235"/>
      <c r="BD44" s="1018">
        <v>-96</v>
      </c>
      <c r="BE44" s="1314">
        <v>1866</v>
      </c>
      <c r="BF44" s="1314">
        <v>644</v>
      </c>
      <c r="BG44" s="1314">
        <v>-1956</v>
      </c>
      <c r="BH44" s="1314">
        <v>-1039</v>
      </c>
      <c r="BI44" s="1314">
        <v>0</v>
      </c>
      <c r="BJ44" s="1314">
        <v>0</v>
      </c>
      <c r="BK44" s="1314">
        <v>0</v>
      </c>
      <c r="BL44" s="1311">
        <v>0</v>
      </c>
      <c r="BM44" s="1311">
        <v>0</v>
      </c>
      <c r="BN44" s="1054"/>
      <c r="BO44" s="1054"/>
      <c r="BP44" s="1054"/>
      <c r="BQ44" s="1266"/>
    </row>
    <row r="45" spans="1:71" ht="9" customHeight="1" x14ac:dyDescent="0.2">
      <c r="A45" s="1239"/>
      <c r="B45" s="1241"/>
      <c r="C45" s="1240"/>
      <c r="D45" s="1056"/>
      <c r="E45" s="937"/>
      <c r="F45" s="1210"/>
      <c r="G45" s="1210"/>
      <c r="H45" s="1210"/>
      <c r="I45" s="2283"/>
      <c r="J45" s="1323"/>
      <c r="K45" s="1323"/>
      <c r="L45" s="1323"/>
      <c r="M45" s="1276"/>
      <c r="N45" s="1323"/>
      <c r="O45" s="1323"/>
      <c r="P45" s="1323"/>
      <c r="Q45" s="1276"/>
      <c r="R45" s="1323"/>
      <c r="S45" s="1323"/>
      <c r="T45" s="1323"/>
      <c r="U45" s="1276"/>
      <c r="V45" s="1323"/>
      <c r="W45" s="1323"/>
      <c r="X45" s="1323"/>
      <c r="Y45" s="1276"/>
      <c r="Z45" s="1323"/>
      <c r="AA45" s="1323"/>
      <c r="AB45" s="1323"/>
      <c r="AC45" s="1276"/>
      <c r="AD45" s="1323"/>
      <c r="AE45" s="1323"/>
      <c r="AF45" s="1323"/>
      <c r="AG45" s="1276"/>
      <c r="AH45" s="1323"/>
      <c r="AI45" s="1323"/>
      <c r="AJ45" s="1323"/>
      <c r="AK45" s="1276"/>
      <c r="AL45" s="1323"/>
      <c r="AM45" s="1323"/>
      <c r="AN45" s="1323"/>
      <c r="AO45" s="1276"/>
      <c r="AP45" s="1026"/>
      <c r="AQ45" s="1026"/>
      <c r="AR45" s="1026"/>
      <c r="AS45" s="1308"/>
      <c r="AT45" s="1309"/>
      <c r="AU45" s="1308"/>
      <c r="AV45" s="1308"/>
      <c r="AW45" s="1308"/>
      <c r="AX45" s="1055"/>
      <c r="AY45" s="1323"/>
      <c r="AZ45" s="1323"/>
      <c r="BA45" s="1281"/>
      <c r="BB45" s="1321"/>
      <c r="BC45" s="1235"/>
      <c r="BD45" s="1282"/>
      <c r="BE45" s="1314"/>
      <c r="BF45" s="1314"/>
      <c r="BG45" s="1314"/>
      <c r="BH45" s="1314"/>
      <c r="BI45" s="1314"/>
      <c r="BJ45" s="1314"/>
      <c r="BK45" s="1314"/>
      <c r="BL45" s="1282"/>
      <c r="BM45" s="1282"/>
      <c r="BN45" s="1054"/>
      <c r="BO45" s="1054"/>
      <c r="BP45" s="1054"/>
      <c r="BQ45" s="1266"/>
    </row>
    <row r="46" spans="1:71" ht="14.25" customHeight="1" thickBot="1" x14ac:dyDescent="0.25">
      <c r="A46" s="1239" t="s">
        <v>362</v>
      </c>
      <c r="B46" s="1235"/>
      <c r="C46" s="1237">
        <v>-3732</v>
      </c>
      <c r="D46" s="1232">
        <v>-0.35836374111772612</v>
      </c>
      <c r="E46" s="937"/>
      <c r="F46" s="1212">
        <v>0</v>
      </c>
      <c r="G46" s="1212">
        <v>0</v>
      </c>
      <c r="H46" s="1212">
        <v>0</v>
      </c>
      <c r="I46" s="2286">
        <v>6682</v>
      </c>
      <c r="J46" s="1330">
        <v>-22503</v>
      </c>
      <c r="K46" s="1330">
        <v>-346277</v>
      </c>
      <c r="L46" s="1330">
        <v>-105</v>
      </c>
      <c r="M46" s="1286">
        <v>10414</v>
      </c>
      <c r="N46" s="1330">
        <v>-26994</v>
      </c>
      <c r="O46" s="1330">
        <v>-21380</v>
      </c>
      <c r="P46" s="1330">
        <v>17109</v>
      </c>
      <c r="Q46" s="1286">
        <v>18081</v>
      </c>
      <c r="R46" s="1315">
        <v>25734</v>
      </c>
      <c r="S46" s="1315">
        <v>17321</v>
      </c>
      <c r="T46" s="1330">
        <v>-383</v>
      </c>
      <c r="U46" s="1286">
        <v>8741</v>
      </c>
      <c r="V46" s="1315">
        <v>6830</v>
      </c>
      <c r="W46" s="1315">
        <v>10880</v>
      </c>
      <c r="X46" s="1330">
        <v>-14562</v>
      </c>
      <c r="Y46" s="1331">
        <v>-19967</v>
      </c>
      <c r="Z46" s="1330">
        <v>-31250</v>
      </c>
      <c r="AA46" s="1330">
        <v>3026</v>
      </c>
      <c r="AB46" s="1330">
        <v>-5278</v>
      </c>
      <c r="AC46" s="1286">
        <v>13195</v>
      </c>
      <c r="AD46" s="1315">
        <v>41323</v>
      </c>
      <c r="AE46" s="1315">
        <v>42997</v>
      </c>
      <c r="AF46" s="1315">
        <v>10251</v>
      </c>
      <c r="AG46" s="1286">
        <v>5172</v>
      </c>
      <c r="AH46" s="1315">
        <v>7526</v>
      </c>
      <c r="AI46" s="1315">
        <v>15113</v>
      </c>
      <c r="AJ46" s="1315">
        <v>6746</v>
      </c>
      <c r="AK46" s="1337"/>
      <c r="AL46" s="1338"/>
      <c r="AM46" s="1338"/>
      <c r="AN46" s="1338"/>
      <c r="AO46" s="1337"/>
      <c r="AP46" s="1339"/>
      <c r="AQ46" s="1339"/>
      <c r="AR46" s="1339"/>
      <c r="AS46" s="1340"/>
      <c r="AT46" s="1341"/>
      <c r="AU46" s="1340"/>
      <c r="AV46" s="1340"/>
      <c r="AW46" s="1340"/>
      <c r="AX46" s="1055"/>
      <c r="AY46" s="1330">
        <v>-358471</v>
      </c>
      <c r="AZ46" s="1330">
        <v>-13184</v>
      </c>
      <c r="BA46" s="1287">
        <v>-345287</v>
      </c>
      <c r="BB46" s="1319" t="s">
        <v>42</v>
      </c>
      <c r="BC46" s="1235"/>
      <c r="BD46" s="1320">
        <v>-358471</v>
      </c>
      <c r="BE46" s="1320">
        <v>-13184</v>
      </c>
      <c r="BF46" s="1320">
        <v>51413</v>
      </c>
      <c r="BG46" s="1320">
        <v>-16819</v>
      </c>
      <c r="BH46" s="1320">
        <v>-20307</v>
      </c>
      <c r="BI46" s="1320">
        <v>99743</v>
      </c>
      <c r="BJ46" s="1320">
        <f>BJ42+BJ44</f>
        <v>38497</v>
      </c>
      <c r="BK46" s="1320">
        <f>BK42+BK44</f>
        <v>-47651</v>
      </c>
      <c r="BL46" s="1291">
        <f>BL42+BL44</f>
        <v>31334</v>
      </c>
      <c r="BM46" s="1291">
        <f>BM42+BM44</f>
        <v>93456</v>
      </c>
      <c r="BN46" s="1336"/>
      <c r="BO46" s="1336"/>
      <c r="BP46" s="1336"/>
      <c r="BQ46" s="1266"/>
    </row>
    <row r="47" spans="1:71" ht="12" customHeight="1" thickTop="1" x14ac:dyDescent="0.2">
      <c r="A47" s="971"/>
      <c r="B47" s="969"/>
      <c r="C47" s="1240"/>
      <c r="D47" s="1056"/>
      <c r="E47" s="937"/>
      <c r="F47" s="1190"/>
      <c r="G47" s="1190"/>
      <c r="H47" s="1190"/>
      <c r="I47" s="2291"/>
      <c r="J47" s="1275"/>
      <c r="K47" s="1275"/>
      <c r="L47" s="1275"/>
      <c r="M47" s="1326"/>
      <c r="N47" s="1275"/>
      <c r="O47" s="1275"/>
      <c r="P47" s="1275"/>
      <c r="Q47" s="1326"/>
      <c r="R47" s="1275"/>
      <c r="S47" s="1275"/>
      <c r="T47" s="1275"/>
      <c r="U47" s="1326"/>
      <c r="V47" s="1275"/>
      <c r="W47" s="1275"/>
      <c r="X47" s="1248"/>
      <c r="Y47" s="1293"/>
      <c r="Z47" s="1248"/>
      <c r="AA47" s="1248"/>
      <c r="AB47" s="1248"/>
      <c r="AC47" s="1326"/>
      <c r="AD47" s="1275"/>
      <c r="AE47" s="1275"/>
      <c r="AF47" s="1275"/>
      <c r="AG47" s="1326"/>
      <c r="AH47" s="1275"/>
      <c r="AI47" s="1275"/>
      <c r="AJ47" s="1275"/>
      <c r="AK47" s="1326"/>
      <c r="AL47" s="1275"/>
      <c r="AM47" s="1275"/>
      <c r="AN47" s="1275"/>
      <c r="AO47" s="1326"/>
      <c r="AP47" s="1307"/>
      <c r="AQ47" s="1307"/>
      <c r="AR47" s="1307"/>
      <c r="AS47" s="1308"/>
      <c r="AT47" s="1309"/>
      <c r="AU47" s="1308"/>
      <c r="AV47" s="1308"/>
      <c r="AW47" s="1308"/>
      <c r="AX47" s="1055"/>
      <c r="AY47" s="1275"/>
      <c r="AZ47" s="1275"/>
      <c r="BA47" s="1281"/>
      <c r="BB47" s="1321"/>
      <c r="BC47" s="1235"/>
      <c r="BD47" s="2239"/>
      <c r="BE47" s="1297"/>
      <c r="BF47" s="1297"/>
      <c r="BG47" s="1297"/>
      <c r="BH47" s="1297"/>
      <c r="BI47" s="1297"/>
      <c r="BJ47" s="1297"/>
      <c r="BK47" s="1297"/>
      <c r="BL47" s="1327"/>
      <c r="BM47" s="1282"/>
      <c r="BN47" s="1054"/>
      <c r="BO47" s="1054"/>
      <c r="BP47" s="1054"/>
      <c r="BQ47" s="1266"/>
      <c r="BS47" s="1201"/>
    </row>
    <row r="48" spans="1:71" ht="12.75" customHeight="1" x14ac:dyDescent="0.2">
      <c r="A48" s="1235"/>
      <c r="B48" s="1235" t="s">
        <v>269</v>
      </c>
      <c r="C48" s="1240">
        <v>-1</v>
      </c>
      <c r="D48" s="1056">
        <v>-3.33555703802535E-4</v>
      </c>
      <c r="E48" s="937"/>
      <c r="F48" s="1192"/>
      <c r="G48" s="932"/>
      <c r="H48" s="932"/>
      <c r="I48" s="2290">
        <v>-2999</v>
      </c>
      <c r="J48" s="1281">
        <v>-2998</v>
      </c>
      <c r="K48" s="1026">
        <v>-2998</v>
      </c>
      <c r="L48" s="1026">
        <v>-2998</v>
      </c>
      <c r="M48" s="1308">
        <v>-2998</v>
      </c>
      <c r="N48" s="1026">
        <v>-2998</v>
      </c>
      <c r="O48" s="1026">
        <v>-2960</v>
      </c>
      <c r="P48" s="1026">
        <v>-2921</v>
      </c>
      <c r="Q48" s="1308">
        <v>-2998</v>
      </c>
      <c r="R48" s="1026">
        <v>-2960</v>
      </c>
      <c r="S48" s="1026">
        <v>-2921</v>
      </c>
      <c r="T48" s="1026">
        <v>-2921</v>
      </c>
      <c r="U48" s="1308">
        <v>-2960</v>
      </c>
      <c r="V48" s="1026">
        <v>-2887</v>
      </c>
      <c r="W48" s="1026">
        <v>-2998</v>
      </c>
      <c r="X48" s="1322">
        <v>-2998</v>
      </c>
      <c r="Y48" s="1293">
        <v>-2837</v>
      </c>
      <c r="Z48" s="1322">
        <v>-1107</v>
      </c>
      <c r="AA48" s="1322">
        <v>-1818</v>
      </c>
      <c r="AB48" s="1322">
        <v>-1800</v>
      </c>
      <c r="AC48" s="1308">
        <v>-90</v>
      </c>
      <c r="AD48" s="1026">
        <v>0</v>
      </c>
      <c r="AE48" s="1026">
        <v>0</v>
      </c>
      <c r="AF48" s="1026">
        <v>0</v>
      </c>
      <c r="AG48" s="1308">
        <v>0</v>
      </c>
      <c r="AH48" s="1026">
        <v>0</v>
      </c>
      <c r="AI48" s="1026">
        <v>0</v>
      </c>
      <c r="AJ48" s="1026">
        <v>0</v>
      </c>
      <c r="AK48" s="1326"/>
      <c r="AL48" s="1275"/>
      <c r="AM48" s="1275"/>
      <c r="AN48" s="1275"/>
      <c r="AO48" s="1326"/>
      <c r="AP48" s="1307"/>
      <c r="AQ48" s="1307"/>
      <c r="AR48" s="1307"/>
      <c r="AS48" s="1308"/>
      <c r="AT48" s="1309"/>
      <c r="AU48" s="1308"/>
      <c r="AV48" s="1308"/>
      <c r="AW48" s="1308"/>
      <c r="AX48" s="1055"/>
      <c r="AY48" s="1322">
        <v>-11992</v>
      </c>
      <c r="AZ48" s="1294">
        <v>-11877</v>
      </c>
      <c r="BA48" s="1281">
        <v>-115</v>
      </c>
      <c r="BB48" s="1056">
        <v>-9.6825797760377204E-3</v>
      </c>
      <c r="BC48" s="1235"/>
      <c r="BD48" s="1018">
        <v>-11992</v>
      </c>
      <c r="BE48" s="1297">
        <v>-11877</v>
      </c>
      <c r="BF48" s="1297">
        <v>-11762</v>
      </c>
      <c r="BG48" s="1297">
        <v>-11720</v>
      </c>
      <c r="BH48" s="1297">
        <v>-4815</v>
      </c>
      <c r="BI48" s="1297">
        <v>0</v>
      </c>
      <c r="BJ48" s="1297">
        <v>0</v>
      </c>
      <c r="BK48" s="1297">
        <v>0</v>
      </c>
      <c r="BL48" s="1279">
        <v>0</v>
      </c>
      <c r="BM48" s="1279">
        <v>0</v>
      </c>
      <c r="BN48" s="1054"/>
      <c r="BO48" s="1054"/>
      <c r="BP48" s="1054"/>
      <c r="BQ48" s="1266"/>
      <c r="BS48" s="1221"/>
    </row>
    <row r="49" spans="1:71" ht="9" customHeight="1" x14ac:dyDescent="0.2">
      <c r="A49" s="1235"/>
      <c r="B49" s="1235"/>
      <c r="C49" s="1240"/>
      <c r="D49" s="1056"/>
      <c r="E49" s="937"/>
      <c r="F49" s="1190"/>
      <c r="G49" s="1190"/>
      <c r="H49" s="1190"/>
      <c r="I49" s="2283"/>
      <c r="J49" s="1275"/>
      <c r="K49" s="1275"/>
      <c r="L49" s="1275"/>
      <c r="M49" s="1276"/>
      <c r="N49" s="1275"/>
      <c r="O49" s="1275"/>
      <c r="P49" s="1275"/>
      <c r="Q49" s="1276"/>
      <c r="R49" s="1275"/>
      <c r="S49" s="1275"/>
      <c r="T49" s="1275"/>
      <c r="U49" s="1276"/>
      <c r="V49" s="1275"/>
      <c r="W49" s="1275"/>
      <c r="X49" s="1248"/>
      <c r="Y49" s="1293"/>
      <c r="Z49" s="1300"/>
      <c r="AA49" s="1248"/>
      <c r="AB49" s="1248"/>
      <c r="AC49" s="1276"/>
      <c r="AD49" s="1298"/>
      <c r="AE49" s="1275"/>
      <c r="AF49" s="1275"/>
      <c r="AG49" s="1276"/>
      <c r="AH49" s="1298"/>
      <c r="AI49" s="1275"/>
      <c r="AJ49" s="1275"/>
      <c r="AK49" s="1276"/>
      <c r="AL49" s="1275"/>
      <c r="AM49" s="1275"/>
      <c r="AN49" s="1275"/>
      <c r="AO49" s="1276"/>
      <c r="AP49" s="1277"/>
      <c r="AQ49" s="1277"/>
      <c r="AR49" s="1277"/>
      <c r="AS49" s="1278"/>
      <c r="AT49" s="1342"/>
      <c r="AU49" s="1343"/>
      <c r="AV49" s="1278"/>
      <c r="AW49" s="1278"/>
      <c r="AX49" s="1274"/>
      <c r="AY49" s="1298"/>
      <c r="AZ49" s="1275"/>
      <c r="BA49" s="1281"/>
      <c r="BB49" s="1283"/>
      <c r="BC49" s="1235"/>
      <c r="BD49" s="2240"/>
      <c r="BE49" s="1314"/>
      <c r="BF49" s="1314"/>
      <c r="BG49" s="1314"/>
      <c r="BH49" s="1314"/>
      <c r="BI49" s="1314"/>
      <c r="BJ49" s="1314"/>
      <c r="BK49" s="1314"/>
      <c r="BL49" s="1282"/>
      <c r="BM49" s="1282"/>
      <c r="BN49" s="1329"/>
      <c r="BO49" s="1329"/>
      <c r="BP49" s="1329"/>
      <c r="BQ49" s="1266"/>
    </row>
    <row r="50" spans="1:71" ht="12.75" customHeight="1" thickBot="1" x14ac:dyDescent="0.25">
      <c r="A50" s="1239" t="s">
        <v>372</v>
      </c>
      <c r="B50" s="1235"/>
      <c r="C50" s="1242">
        <v>-3733</v>
      </c>
      <c r="D50" s="1243">
        <v>-0.50337108953613807</v>
      </c>
      <c r="E50" s="937"/>
      <c r="F50" s="1213">
        <v>0</v>
      </c>
      <c r="G50" s="1213">
        <v>0</v>
      </c>
      <c r="H50" s="1213">
        <v>0</v>
      </c>
      <c r="I50" s="2386">
        <v>3683</v>
      </c>
      <c r="J50" s="1333">
        <v>-25501</v>
      </c>
      <c r="K50" s="1333">
        <v>-349275</v>
      </c>
      <c r="L50" s="1333">
        <v>-3103</v>
      </c>
      <c r="M50" s="1337">
        <v>7416</v>
      </c>
      <c r="N50" s="1333">
        <v>-29992</v>
      </c>
      <c r="O50" s="1333">
        <v>-24340</v>
      </c>
      <c r="P50" s="1333">
        <v>14188</v>
      </c>
      <c r="Q50" s="1337">
        <v>15083</v>
      </c>
      <c r="R50" s="1338">
        <v>22774</v>
      </c>
      <c r="S50" s="1338">
        <v>14400</v>
      </c>
      <c r="T50" s="1333">
        <v>-3304</v>
      </c>
      <c r="U50" s="1337">
        <v>5781</v>
      </c>
      <c r="V50" s="1338">
        <v>3943</v>
      </c>
      <c r="W50" s="1338">
        <v>7882</v>
      </c>
      <c r="X50" s="1333">
        <v>-17560</v>
      </c>
      <c r="Y50" s="1332">
        <v>-22804</v>
      </c>
      <c r="Z50" s="1333">
        <v>-32357</v>
      </c>
      <c r="AA50" s="1333">
        <v>1208</v>
      </c>
      <c r="AB50" s="1333">
        <v>-7078</v>
      </c>
      <c r="AC50" s="1337">
        <v>13105</v>
      </c>
      <c r="AD50" s="1338">
        <v>41323</v>
      </c>
      <c r="AE50" s="1338">
        <v>42997</v>
      </c>
      <c r="AF50" s="1338">
        <v>10251</v>
      </c>
      <c r="AG50" s="1337">
        <v>5172</v>
      </c>
      <c r="AH50" s="1338">
        <v>7526</v>
      </c>
      <c r="AI50" s="1338">
        <v>15113</v>
      </c>
      <c r="AJ50" s="1338">
        <v>6746</v>
      </c>
      <c r="AK50" s="1337"/>
      <c r="AL50" s="1338"/>
      <c r="AM50" s="1338"/>
      <c r="AN50" s="1338"/>
      <c r="AO50" s="1337"/>
      <c r="AP50" s="1344"/>
      <c r="AQ50" s="1344"/>
      <c r="AR50" s="1344"/>
      <c r="AS50" s="1345"/>
      <c r="AT50" s="1346"/>
      <c r="AU50" s="1345"/>
      <c r="AV50" s="1345"/>
      <c r="AW50" s="1345"/>
      <c r="AX50" s="1274"/>
      <c r="AY50" s="1333">
        <v>-370463</v>
      </c>
      <c r="AZ50" s="1333">
        <v>-25061</v>
      </c>
      <c r="BA50" s="1344">
        <v>-345402</v>
      </c>
      <c r="BB50" s="1243" t="s">
        <v>42</v>
      </c>
      <c r="BC50" s="1235"/>
      <c r="BD50" s="1334">
        <v>-370463</v>
      </c>
      <c r="BE50" s="1334">
        <v>-25061</v>
      </c>
      <c r="BF50" s="1334">
        <v>39651</v>
      </c>
      <c r="BG50" s="1334">
        <v>-28539</v>
      </c>
      <c r="BH50" s="1334">
        <v>-25122</v>
      </c>
      <c r="BI50" s="1334">
        <v>99743</v>
      </c>
      <c r="BJ50" s="1334">
        <f>BJ42+BJ48</f>
        <v>38497</v>
      </c>
      <c r="BK50" s="1334">
        <f>BK42+BK48</f>
        <v>-47651</v>
      </c>
      <c r="BL50" s="1347">
        <f>BL42+BL48</f>
        <v>31334</v>
      </c>
      <c r="BM50" s="1347">
        <f>BM42+BM48</f>
        <v>93456</v>
      </c>
      <c r="BN50" s="1336"/>
      <c r="BO50" s="1336"/>
      <c r="BP50" s="1336"/>
      <c r="BQ50" s="1266"/>
      <c r="BS50" s="1201"/>
    </row>
    <row r="51" spans="1:71" ht="12.75" customHeight="1" thickTop="1" x14ac:dyDescent="0.2">
      <c r="A51" s="1244"/>
      <c r="B51" s="1244"/>
      <c r="C51" s="1025"/>
      <c r="D51" s="975"/>
      <c r="E51" s="926"/>
      <c r="F51" s="926"/>
      <c r="G51" s="926"/>
      <c r="H51" s="926"/>
      <c r="I51" s="926"/>
      <c r="J51" s="975"/>
      <c r="K51" s="975"/>
      <c r="L51" s="975"/>
      <c r="M51" s="975"/>
      <c r="N51" s="975"/>
      <c r="O51" s="975"/>
      <c r="P51" s="975"/>
      <c r="Q51" s="975"/>
      <c r="R51" s="975"/>
      <c r="S51" s="975"/>
      <c r="T51" s="975"/>
      <c r="U51" s="1251"/>
      <c r="V51" s="975"/>
      <c r="W51" s="975"/>
      <c r="X51" s="975"/>
      <c r="Y51" s="1251"/>
      <c r="Z51" s="975"/>
      <c r="AA51" s="975"/>
      <c r="AB51" s="975"/>
      <c r="AC51" s="1251"/>
      <c r="AD51" s="975"/>
      <c r="AE51" s="975"/>
      <c r="AF51" s="975"/>
      <c r="AG51" s="1251"/>
      <c r="AH51" s="975"/>
      <c r="AI51" s="975"/>
      <c r="AJ51" s="975"/>
      <c r="AK51" s="1251"/>
      <c r="AL51" s="975"/>
      <c r="AM51" s="975"/>
      <c r="AN51" s="975"/>
      <c r="AO51" s="1251"/>
      <c r="AP51" s="1348"/>
      <c r="AQ51" s="1348"/>
      <c r="AR51" s="1348"/>
      <c r="AS51" s="1348"/>
      <c r="AT51" s="1348"/>
      <c r="AU51" s="1348"/>
      <c r="AV51" s="1348"/>
      <c r="AW51" s="1348"/>
      <c r="AX51" s="1251"/>
      <c r="AY51" s="1251"/>
      <c r="AZ51" s="1251"/>
      <c r="BA51" s="1025"/>
      <c r="BB51" s="975"/>
      <c r="BC51" s="1251"/>
      <c r="BD51" s="1251"/>
      <c r="BE51" s="1251"/>
      <c r="BF51" s="1251"/>
      <c r="BG51" s="1251"/>
      <c r="BH51" s="1251"/>
      <c r="BI51" s="1251"/>
      <c r="BJ51" s="1251"/>
      <c r="BK51" s="1251"/>
      <c r="BL51" s="1025"/>
      <c r="BM51" s="1025"/>
      <c r="BN51" s="1349"/>
      <c r="BO51" s="1349"/>
      <c r="BP51" s="1349"/>
      <c r="BS51" s="1201"/>
    </row>
    <row r="52" spans="1:71" ht="12.75" customHeight="1" x14ac:dyDescent="0.2">
      <c r="A52" s="969" t="s">
        <v>306</v>
      </c>
      <c r="B52" s="1244"/>
      <c r="C52" s="1245">
        <v>2.3275922058781373</v>
      </c>
      <c r="D52" s="975"/>
      <c r="E52" s="926"/>
      <c r="F52" s="946" t="e">
        <v>#DIV/0!</v>
      </c>
      <c r="G52" s="946" t="e">
        <v>#DIV/0!</v>
      </c>
      <c r="H52" s="946" t="e">
        <v>#DIV/0!</v>
      </c>
      <c r="I52" s="946">
        <v>0.479648850518964</v>
      </c>
      <c r="J52" s="1110">
        <v>0.51030799554033601</v>
      </c>
      <c r="K52" s="1110">
        <v>0.5340332275609474</v>
      </c>
      <c r="L52" s="1110">
        <v>0.44777074742132822</v>
      </c>
      <c r="M52" s="1110">
        <v>0.45637292846018263</v>
      </c>
      <c r="N52" s="1110">
        <v>0.50059148689049959</v>
      </c>
      <c r="O52" s="1110">
        <v>0.46272323708033231</v>
      </c>
      <c r="P52" s="1110">
        <v>0.46216420974220279</v>
      </c>
      <c r="Q52" s="1110">
        <v>0.45644985257945236</v>
      </c>
      <c r="R52" s="1110">
        <v>0.45139666125447292</v>
      </c>
      <c r="S52" s="1110">
        <v>0.45409791348247958</v>
      </c>
      <c r="T52" s="1110">
        <v>0.43294818500212762</v>
      </c>
      <c r="U52" s="1110"/>
      <c r="V52" s="1110"/>
      <c r="W52" s="1110"/>
      <c r="X52" s="1110"/>
      <c r="Y52" s="1110"/>
      <c r="Z52" s="1110"/>
      <c r="AA52" s="1110"/>
      <c r="AB52" s="1110"/>
      <c r="AC52" s="1110"/>
      <c r="AD52" s="1110"/>
      <c r="AE52" s="1110"/>
      <c r="AF52" s="1110"/>
      <c r="AG52" s="1251"/>
      <c r="AH52" s="975"/>
      <c r="AI52" s="975"/>
      <c r="AJ52" s="975"/>
      <c r="AK52" s="1251"/>
      <c r="AL52" s="975"/>
      <c r="AM52" s="975"/>
      <c r="AN52" s="975"/>
      <c r="AO52" s="1251"/>
      <c r="AP52" s="1348"/>
      <c r="AQ52" s="1348"/>
      <c r="AR52" s="1348"/>
      <c r="AS52" s="1348"/>
      <c r="AT52" s="1348"/>
      <c r="AU52" s="1348"/>
      <c r="AV52" s="1348"/>
      <c r="AW52" s="1348"/>
      <c r="AX52" s="1251"/>
      <c r="AY52" s="1110">
        <v>0.48597178235730926</v>
      </c>
      <c r="AZ52" s="1110">
        <v>0.47081905120900858</v>
      </c>
      <c r="BA52" s="1245">
        <v>1.515273114830068</v>
      </c>
      <c r="BB52" s="975"/>
      <c r="BC52" s="1251"/>
      <c r="BD52" s="1110">
        <v>0.48597178235730926</v>
      </c>
      <c r="BE52" s="1110">
        <v>0.47081905120900858</v>
      </c>
      <c r="BF52" s="1110">
        <v>0.43941495058720087</v>
      </c>
      <c r="BG52" s="1110">
        <v>0.45517499203384176</v>
      </c>
      <c r="BH52" s="1110">
        <v>0.46784566447994919</v>
      </c>
      <c r="BI52" s="1110">
        <v>0.4732408281910479</v>
      </c>
      <c r="BJ52" s="1110"/>
      <c r="BK52" s="1110"/>
      <c r="BL52" s="1110"/>
      <c r="BM52" s="1025"/>
      <c r="BN52" s="1349"/>
      <c r="BO52" s="1349"/>
      <c r="BP52" s="1349"/>
      <c r="BS52" s="1215"/>
    </row>
    <row r="53" spans="1:71" ht="12.75" customHeight="1" x14ac:dyDescent="0.2">
      <c r="A53" s="969" t="s">
        <v>307</v>
      </c>
      <c r="B53" s="1244"/>
      <c r="C53" s="1245">
        <v>0.18669196510507843</v>
      </c>
      <c r="D53" s="975"/>
      <c r="E53" s="926"/>
      <c r="F53" s="946" t="e">
        <v>#DIV/0!</v>
      </c>
      <c r="G53" s="946" t="e">
        <v>#DIV/0!</v>
      </c>
      <c r="H53" s="946" t="e">
        <v>#DIV/0!</v>
      </c>
      <c r="I53" s="946">
        <v>4.2103986807643809E-2</v>
      </c>
      <c r="J53" s="1110">
        <v>5.1734092538026598E-2</v>
      </c>
      <c r="K53" s="1110">
        <v>4.7663566820834044E-2</v>
      </c>
      <c r="L53" s="1110">
        <v>3.8483331759372935E-2</v>
      </c>
      <c r="M53" s="1110">
        <v>4.0237067156593025E-2</v>
      </c>
      <c r="N53" s="1110">
        <v>4.3813047125373712E-2</v>
      </c>
      <c r="O53" s="1110">
        <v>6.1085714628974414E-2</v>
      </c>
      <c r="P53" s="1110">
        <v>4.3141138777082248E-2</v>
      </c>
      <c r="Q53" s="1110">
        <v>4.1754223069279513E-2</v>
      </c>
      <c r="R53" s="1110">
        <v>3.9547109730914139E-2</v>
      </c>
      <c r="S53" s="1110">
        <v>4.3293398395386193E-2</v>
      </c>
      <c r="T53" s="1110">
        <v>4.4455718852628938E-2</v>
      </c>
      <c r="U53" s="1110">
        <v>4.9665920707575133E-2</v>
      </c>
      <c r="V53" s="1110">
        <v>4.4400401888324594E-2</v>
      </c>
      <c r="W53" s="1110">
        <v>4.4916805432972613E-2</v>
      </c>
      <c r="X53" s="1110">
        <v>6.3087154807903584E-2</v>
      </c>
      <c r="Y53" s="1110">
        <v>7.4506764114205565E-2</v>
      </c>
      <c r="Z53" s="1110">
        <v>4.0395740945005969E-2</v>
      </c>
      <c r="AA53" s="1110">
        <v>4.6210333425744987E-2</v>
      </c>
      <c r="AB53" s="1110">
        <v>6.443514644351464E-2</v>
      </c>
      <c r="AC53" s="1110">
        <v>1.3330579598580575E-3</v>
      </c>
      <c r="AD53" s="1057">
        <v>-1.0258688584179811E-2</v>
      </c>
      <c r="AE53" s="1110">
        <v>1.5951560623778616E-2</v>
      </c>
      <c r="AF53" s="1110">
        <v>3.1637471949626551E-2</v>
      </c>
      <c r="AG53" s="1251"/>
      <c r="AH53" s="975"/>
      <c r="AI53" s="975"/>
      <c r="AJ53" s="975"/>
      <c r="AK53" s="1251"/>
      <c r="AL53" s="975"/>
      <c r="AM53" s="975"/>
      <c r="AN53" s="975"/>
      <c r="AO53" s="1251"/>
      <c r="AP53" s="1348"/>
      <c r="AQ53" s="1348"/>
      <c r="AR53" s="1348"/>
      <c r="AS53" s="1348"/>
      <c r="AT53" s="1348"/>
      <c r="AU53" s="1348"/>
      <c r="AV53" s="1348"/>
      <c r="AW53" s="1348"/>
      <c r="AX53" s="1251"/>
      <c r="AY53" s="1110">
        <v>4.4458971445979649E-2</v>
      </c>
      <c r="AZ53" s="1110">
        <v>4.6323471807966504E-2</v>
      </c>
      <c r="BA53" s="1245">
        <v>-0.18645003619868553</v>
      </c>
      <c r="BB53" s="975"/>
      <c r="BC53" s="1251"/>
      <c r="BD53" s="1110">
        <v>4.4458971445979649E-2</v>
      </c>
      <c r="BE53" s="1110">
        <v>4.6323471807966504E-2</v>
      </c>
      <c r="BF53" s="1110">
        <v>4.3826089396710177E-2</v>
      </c>
      <c r="BG53" s="1110">
        <v>5.5065598490569828E-2</v>
      </c>
      <c r="BH53" s="1110">
        <v>3.6247817691249601E-2</v>
      </c>
      <c r="BI53" s="1110">
        <v>1.0869416436150423E-2</v>
      </c>
      <c r="BJ53" s="1110">
        <f>BJ23/BJ$20</f>
        <v>3.0808415737866145E-2</v>
      </c>
      <c r="BK53" s="1110">
        <f>BK23/BK$20</f>
        <v>1.560743613950402E-2</v>
      </c>
      <c r="BL53" s="1110">
        <f>BL23/BL$20</f>
        <v>1.2490106474159272E-2</v>
      </c>
      <c r="BM53" s="1025"/>
      <c r="BN53" s="1349"/>
      <c r="BO53" s="1349"/>
      <c r="BP53" s="1349"/>
    </row>
    <row r="54" spans="1:71" ht="12.75" customHeight="1" x14ac:dyDescent="0.2">
      <c r="A54" s="1246" t="s">
        <v>76</v>
      </c>
      <c r="B54" s="1247"/>
      <c r="C54" s="1245">
        <v>2.5142841709832222</v>
      </c>
      <c r="D54" s="975"/>
      <c r="E54" s="926"/>
      <c r="F54" s="946" t="e">
        <v>#DIV/0!</v>
      </c>
      <c r="G54" s="946" t="e">
        <v>#DIV/0!</v>
      </c>
      <c r="H54" s="946" t="e">
        <v>#DIV/0!</v>
      </c>
      <c r="I54" s="946">
        <v>0.52175283732660782</v>
      </c>
      <c r="J54" s="1110">
        <v>0.56204208807836264</v>
      </c>
      <c r="K54" s="1110">
        <v>0.58169679438178146</v>
      </c>
      <c r="L54" s="1110">
        <v>0.48625407918070113</v>
      </c>
      <c r="M54" s="1110">
        <v>0.4966099956167756</v>
      </c>
      <c r="N54" s="1110">
        <v>0.54440453401587341</v>
      </c>
      <c r="O54" s="1110">
        <v>0.52380895170930675</v>
      </c>
      <c r="P54" s="1110">
        <v>0.5053053485192851</v>
      </c>
      <c r="Q54" s="1110">
        <v>0.49770407564873187</v>
      </c>
      <c r="R54" s="1110">
        <v>0.49094377098538705</v>
      </c>
      <c r="S54" s="1110">
        <v>0.49739131187786578</v>
      </c>
      <c r="T54" s="1110">
        <v>0.47740390385475651</v>
      </c>
      <c r="U54" s="1110">
        <v>0.46106146952160698</v>
      </c>
      <c r="V54" s="1110">
        <v>0.51978015424070179</v>
      </c>
      <c r="W54" s="1110">
        <v>0.49624135337365166</v>
      </c>
      <c r="X54" s="1110">
        <v>0.50650860937089692</v>
      </c>
      <c r="Y54" s="1110">
        <v>0.52194119680834705</v>
      </c>
      <c r="Z54" s="1110">
        <v>0.53824032595727433</v>
      </c>
      <c r="AA54" s="1110">
        <v>0.47207703074603252</v>
      </c>
      <c r="AB54" s="1110">
        <v>0.5174728033472803</v>
      </c>
      <c r="AC54" s="1110">
        <v>0.4857462934104379</v>
      </c>
      <c r="AD54" s="1110">
        <v>0.48217048001777096</v>
      </c>
      <c r="AE54" s="1110">
        <v>0.49695095630881281</v>
      </c>
      <c r="AF54" s="1110">
        <v>0.47250561007468933</v>
      </c>
      <c r="AG54" s="1110">
        <v>0.47713554111784723</v>
      </c>
      <c r="AH54" s="1110">
        <v>0.50849908826056889</v>
      </c>
      <c r="AI54" s="1110">
        <v>0.5419955311004232</v>
      </c>
      <c r="AJ54" s="1110">
        <v>0.51692203258339797</v>
      </c>
      <c r="AK54" s="1110">
        <v>0.49804674712468083</v>
      </c>
      <c r="AL54" s="1110">
        <v>0.42060450857976001</v>
      </c>
      <c r="AM54" s="1110">
        <v>0.49661650685874204</v>
      </c>
      <c r="AN54" s="1110">
        <v>0.45996084057421793</v>
      </c>
      <c r="AO54" s="1350">
        <v>0.47899923570419434</v>
      </c>
      <c r="AP54" s="1350">
        <v>0.443</v>
      </c>
      <c r="AQ54" s="1350">
        <v>0.495</v>
      </c>
      <c r="AR54" s="1350">
        <v>0.45</v>
      </c>
      <c r="AS54" s="1350">
        <v>0.49399999999999999</v>
      </c>
      <c r="AT54" s="1350">
        <v>0.52400000000000002</v>
      </c>
      <c r="AU54" s="1350">
        <v>0.502</v>
      </c>
      <c r="AV54" s="1350">
        <v>0.48099999999999998</v>
      </c>
      <c r="AW54" s="1350">
        <v>0.50900000000000001</v>
      </c>
      <c r="AX54" s="1251"/>
      <c r="AY54" s="1110">
        <v>0.53043075380328886</v>
      </c>
      <c r="AZ54" s="1110">
        <v>0.51714252301697505</v>
      </c>
      <c r="BA54" s="1245">
        <v>1.3288230786313804</v>
      </c>
      <c r="BB54" s="975"/>
      <c r="BC54" s="1251"/>
      <c r="BD54" s="1110">
        <v>0.53043075380328886</v>
      </c>
      <c r="BE54" s="1110">
        <v>0.51714252301697505</v>
      </c>
      <c r="BF54" s="1110">
        <v>0.48324103998391105</v>
      </c>
      <c r="BG54" s="1110">
        <v>0.51024059052441162</v>
      </c>
      <c r="BH54" s="1110">
        <v>0.50409348217119887</v>
      </c>
      <c r="BI54" s="1110">
        <v>0.48411024462719832</v>
      </c>
      <c r="BJ54" s="1110">
        <f>BJ24/BJ20</f>
        <v>0.51786119330882696</v>
      </c>
      <c r="BK54" s="1057">
        <v>0.46471894683298409</v>
      </c>
      <c r="BL54" s="1057">
        <v>0.47399999999999998</v>
      </c>
      <c r="BM54" s="1351">
        <v>0.50600000000000001</v>
      </c>
      <c r="BN54" s="1352">
        <v>0.51300000000000001</v>
      </c>
      <c r="BO54" s="1352">
        <v>0.50900000000000001</v>
      </c>
      <c r="BP54" s="1352">
        <v>0.54400000000000004</v>
      </c>
    </row>
    <row r="55" spans="1:71" ht="12.75" customHeight="1" x14ac:dyDescent="0.2">
      <c r="A55" s="1246" t="s">
        <v>207</v>
      </c>
      <c r="B55" s="1247"/>
      <c r="C55" s="1245">
        <v>2.6188323765241939</v>
      </c>
      <c r="D55" s="1248"/>
      <c r="E55" s="926"/>
      <c r="F55" s="946" t="e">
        <v>#DIV/0!</v>
      </c>
      <c r="G55" s="946" t="e">
        <v>#DIV/0!</v>
      </c>
      <c r="H55" s="946" t="e">
        <v>#DIV/0!</v>
      </c>
      <c r="I55" s="946">
        <v>0.62801435638762249</v>
      </c>
      <c r="J55" s="1110">
        <v>0.68347833877518516</v>
      </c>
      <c r="K55" s="1110">
        <v>0.71098291326847673</v>
      </c>
      <c r="L55" s="1110">
        <v>0.60435357446406646</v>
      </c>
      <c r="M55" s="1110">
        <v>0.60182603262238055</v>
      </c>
      <c r="N55" s="1110">
        <v>0.6413610651065752</v>
      </c>
      <c r="O55" s="1110">
        <v>0.64653302977695815</v>
      </c>
      <c r="P55" s="1110">
        <v>0.59108819956744585</v>
      </c>
      <c r="Q55" s="1110">
        <v>0.58996725797781358</v>
      </c>
      <c r="R55" s="1110">
        <v>0.59013273011018808</v>
      </c>
      <c r="S55" s="1110">
        <v>0.58983196151697925</v>
      </c>
      <c r="T55" s="1110">
        <v>0.59472685018493665</v>
      </c>
      <c r="U55" s="1110">
        <v>0.58449188435675714</v>
      </c>
      <c r="V55" s="1110">
        <v>0.6244959191819095</v>
      </c>
      <c r="W55" s="1110">
        <v>0.58790102737790373</v>
      </c>
      <c r="X55" s="1110">
        <v>0.62228414407365529</v>
      </c>
      <c r="Y55" s="1110">
        <v>0.66525508615863527</v>
      </c>
      <c r="Z55" s="1110">
        <v>0.63748508655426239</v>
      </c>
      <c r="AA55" s="1110">
        <v>0.5735653091169729</v>
      </c>
      <c r="AB55" s="1110">
        <v>0.63599163179916318</v>
      </c>
      <c r="AC55" s="1110">
        <v>0.59187283378081523</v>
      </c>
      <c r="AD55" s="1110">
        <v>0.55302409176275769</v>
      </c>
      <c r="AE55" s="1110">
        <v>0.55478860748565728</v>
      </c>
      <c r="AF55" s="1110">
        <v>0.58184010449810764</v>
      </c>
      <c r="AG55" s="1110">
        <v>0.58124502195277683</v>
      </c>
      <c r="AH55" s="1110">
        <v>0.6250689917768788</v>
      </c>
      <c r="AI55" s="1110">
        <v>0.62828455458235422</v>
      </c>
      <c r="AJ55" s="1110">
        <v>0.62992145073700545</v>
      </c>
      <c r="AK55" s="1110">
        <v>0.5984519470693932</v>
      </c>
      <c r="AL55" s="1110">
        <v>0.55440390294964292</v>
      </c>
      <c r="AM55" s="1110">
        <v>0.64362068174519427</v>
      </c>
      <c r="AN55" s="1110">
        <v>0.58804103619088866</v>
      </c>
      <c r="AO55" s="1350">
        <v>0.56841605484401414</v>
      </c>
      <c r="AP55" s="1350">
        <v>0.54500000000000004</v>
      </c>
      <c r="AQ55" s="1350">
        <v>0.56399999999999995</v>
      </c>
      <c r="AR55" s="1350">
        <v>0.52900000000000003</v>
      </c>
      <c r="AS55" s="1350">
        <v>0.55200000000000005</v>
      </c>
      <c r="AT55" s="1350">
        <v>0.58399999999999996</v>
      </c>
      <c r="AU55" s="1350">
        <v>0.56699999999999995</v>
      </c>
      <c r="AV55" s="1350">
        <v>0.54900000000000004</v>
      </c>
      <c r="AW55" s="1350">
        <v>0.56999999999999995</v>
      </c>
      <c r="AX55" s="1251"/>
      <c r="AY55" s="1110">
        <v>0.64845615348975949</v>
      </c>
      <c r="AZ55" s="1110">
        <v>0.61452399794269286</v>
      </c>
      <c r="BA55" s="1245">
        <v>3.2932155547066633</v>
      </c>
      <c r="BB55" s="975"/>
      <c r="BC55" s="1251"/>
      <c r="BD55" s="1110">
        <v>0.64845615348975949</v>
      </c>
      <c r="BE55" s="1110">
        <v>0.61452399794269286</v>
      </c>
      <c r="BF55" s="1110">
        <v>0.58980127308697872</v>
      </c>
      <c r="BG55" s="1110">
        <v>0.62129260012896392</v>
      </c>
      <c r="BH55" s="1110">
        <v>0.60977674320177755</v>
      </c>
      <c r="BI55" s="1110">
        <v>0.5642714131236849</v>
      </c>
      <c r="BJ55" s="1110">
        <f>(BJ24+BJ25)/BJ20</f>
        <v>0.62073771896865482</v>
      </c>
      <c r="BK55" s="1057">
        <v>0.58355609236353434</v>
      </c>
      <c r="BL55" s="1057">
        <v>0.54900000000000004</v>
      </c>
      <c r="BM55" s="1351">
        <v>0.56899999999999995</v>
      </c>
      <c r="BN55" s="1352">
        <v>0.58499999999999996</v>
      </c>
      <c r="BO55" s="1352">
        <v>0.61499999999999999</v>
      </c>
      <c r="BP55" s="1352">
        <v>0.63600000000000001</v>
      </c>
    </row>
    <row r="56" spans="1:71" ht="12.75" customHeight="1" x14ac:dyDescent="0.2">
      <c r="A56" s="1246" t="s">
        <v>77</v>
      </c>
      <c r="B56" s="1247"/>
      <c r="C56" s="1245">
        <v>-1.670256581675017</v>
      </c>
      <c r="D56" s="975"/>
      <c r="E56" s="926"/>
      <c r="F56" s="946" t="e">
        <v>#DIV/0!</v>
      </c>
      <c r="G56" s="946" t="e">
        <v>#DIV/0!</v>
      </c>
      <c r="H56" s="946" t="e">
        <v>#DIV/0!</v>
      </c>
      <c r="I56" s="946">
        <v>0.32343098263653119</v>
      </c>
      <c r="J56" s="1110">
        <v>0.45239209206020548</v>
      </c>
      <c r="K56" s="1110">
        <v>2.2172220175211867</v>
      </c>
      <c r="L56" s="1110">
        <v>0.38778187007481557</v>
      </c>
      <c r="M56" s="1110">
        <v>0.34013354845328136</v>
      </c>
      <c r="N56" s="1110">
        <v>0.48067881186415157</v>
      </c>
      <c r="O56" s="1110">
        <v>0.50676694439271708</v>
      </c>
      <c r="P56" s="1110">
        <v>0.30283388354897556</v>
      </c>
      <c r="Q56" s="1110">
        <v>0.31519490462460703</v>
      </c>
      <c r="R56" s="1110">
        <v>0.28371455144474045</v>
      </c>
      <c r="S56" s="1110">
        <v>0.30443498629626903</v>
      </c>
      <c r="T56" s="1110">
        <v>0.4104884728268578</v>
      </c>
      <c r="U56" s="1110">
        <v>0.36683562016973686</v>
      </c>
      <c r="V56" s="1110">
        <v>0.34803712420459604</v>
      </c>
      <c r="W56" s="1110">
        <v>0.35505189062751358</v>
      </c>
      <c r="X56" s="1110">
        <v>0.47684607098644688</v>
      </c>
      <c r="Y56" s="1110">
        <v>0.485562543602237</v>
      </c>
      <c r="Z56" s="1110">
        <v>0.5315658555252909</v>
      </c>
      <c r="AA56" s="1110">
        <v>0.39217250775919776</v>
      </c>
      <c r="AB56" s="1110">
        <v>0.42171548117154811</v>
      </c>
      <c r="AC56" s="1110">
        <v>0.30856223753465639</v>
      </c>
      <c r="AD56" s="1110">
        <v>0.21144611159352975</v>
      </c>
      <c r="AE56" s="1110">
        <v>0.20224538326910851</v>
      </c>
      <c r="AF56" s="1110">
        <v>0.32030009712965135</v>
      </c>
      <c r="AG56" s="1110">
        <v>0.3685236017035618</v>
      </c>
      <c r="AH56" s="1110">
        <v>0.33667987116877313</v>
      </c>
      <c r="AI56" s="1110">
        <v>0.24290259069152467</v>
      </c>
      <c r="AJ56" s="1110">
        <v>0.30655223687613137</v>
      </c>
      <c r="AK56" s="1110">
        <v>0.28518946916624838</v>
      </c>
      <c r="AL56" s="1110">
        <v>0.38311712587386443</v>
      </c>
      <c r="AM56" s="1110">
        <v>1.1871931917236318</v>
      </c>
      <c r="AN56" s="1110">
        <v>0.45685695982098551</v>
      </c>
      <c r="AO56" s="1350">
        <v>0.29634821780114412</v>
      </c>
      <c r="AP56" s="1350">
        <v>0.80700000000000005</v>
      </c>
      <c r="AQ56" s="1350">
        <v>0.30300000000000005</v>
      </c>
      <c r="AR56" s="1350">
        <v>0.35099999999999998</v>
      </c>
      <c r="AS56" s="1350">
        <v>0.20899999999999996</v>
      </c>
      <c r="AT56" s="1350">
        <v>0.23099999999999998</v>
      </c>
      <c r="AU56" s="1350">
        <v>0.24400000000000011</v>
      </c>
      <c r="AV56" s="1350">
        <v>0.28899999999999992</v>
      </c>
      <c r="AW56" s="1350">
        <v>0.24</v>
      </c>
      <c r="AX56" s="1251"/>
      <c r="AY56" s="1110">
        <v>0.81355030749995239</v>
      </c>
      <c r="AZ56" s="1110">
        <v>0.39189884225381855</v>
      </c>
      <c r="BA56" s="1245">
        <v>42.165146524613384</v>
      </c>
      <c r="BB56" s="975"/>
      <c r="BC56" s="1251"/>
      <c r="BD56" s="1110">
        <v>0.81355030749995239</v>
      </c>
      <c r="BE56" s="1110">
        <v>0.39189884225381855</v>
      </c>
      <c r="BF56" s="1110">
        <v>0.33467875834264843</v>
      </c>
      <c r="BG56" s="1110">
        <v>0.40844186962597945</v>
      </c>
      <c r="BH56" s="1110">
        <v>0.41687222251613587</v>
      </c>
      <c r="BI56" s="1110">
        <v>0.25844324074108638</v>
      </c>
      <c r="BJ56" s="1110" t="e">
        <f>(BJ26+BJ27+BJ28+BJ29+BJ30+BJ31+BJ32+#REF!+#REF!+BJ35+BJ33+BJ34)/BJ20</f>
        <v>#REF!</v>
      </c>
      <c r="BK56" s="1057">
        <v>0.51524425344500246</v>
      </c>
      <c r="BL56" s="1057">
        <v>0.38100000000000001</v>
      </c>
      <c r="BM56" s="1351">
        <v>0.248</v>
      </c>
      <c r="BN56" s="1352">
        <v>0.21100000000000008</v>
      </c>
      <c r="BO56" s="1352">
        <v>0.21699999999999997</v>
      </c>
      <c r="BP56" s="1352">
        <v>0.20799999999999996</v>
      </c>
    </row>
    <row r="57" spans="1:71" ht="12.75" customHeight="1" x14ac:dyDescent="0.2">
      <c r="A57" s="1246" t="s">
        <v>78</v>
      </c>
      <c r="B57" s="1246"/>
      <c r="C57" s="1245">
        <v>0.94857579484917132</v>
      </c>
      <c r="D57" s="975"/>
      <c r="E57" s="926"/>
      <c r="F57" s="946" t="e">
        <v>#DIV/0!</v>
      </c>
      <c r="G57" s="946" t="e">
        <v>#DIV/0!</v>
      </c>
      <c r="H57" s="946" t="e">
        <v>#DIV/0!</v>
      </c>
      <c r="I57" s="946">
        <v>0.95144533902415362</v>
      </c>
      <c r="J57" s="1110">
        <v>1.1358704308353906</v>
      </c>
      <c r="K57" s="1110">
        <v>2.9282049307896632</v>
      </c>
      <c r="L57" s="1110">
        <v>0.99213544453888203</v>
      </c>
      <c r="M57" s="1110">
        <v>0.94195958107566191</v>
      </c>
      <c r="N57" s="1110">
        <v>1.1220398769707267</v>
      </c>
      <c r="O57" s="1110">
        <v>1.1532999741696752</v>
      </c>
      <c r="P57" s="1110">
        <v>0.89442208311642135</v>
      </c>
      <c r="Q57" s="1110">
        <v>0.90516216260242066</v>
      </c>
      <c r="R57" s="1110">
        <v>0.87384728155492852</v>
      </c>
      <c r="S57" s="1110">
        <v>0.89426694781324823</v>
      </c>
      <c r="T57" s="1110">
        <v>1.0052153230117944</v>
      </c>
      <c r="U57" s="1110">
        <v>0.95132750452649406</v>
      </c>
      <c r="V57" s="1110">
        <v>0.97253304338650559</v>
      </c>
      <c r="W57" s="1110">
        <v>0.94295291800541736</v>
      </c>
      <c r="X57" s="1110">
        <v>1.0981302150601022</v>
      </c>
      <c r="Y57" s="1110">
        <v>1.1511176297608701</v>
      </c>
      <c r="Z57" s="1110">
        <v>1.1690509420795534</v>
      </c>
      <c r="AA57" s="1110">
        <v>0.96573781687617066</v>
      </c>
      <c r="AB57" s="1110">
        <v>1.0577071129707114</v>
      </c>
      <c r="AC57" s="1110">
        <v>0.90143507131547163</v>
      </c>
      <c r="AD57" s="1110">
        <v>0.76447020335628746</v>
      </c>
      <c r="AE57" s="1110">
        <v>0.75703399075476585</v>
      </c>
      <c r="AF57" s="1110">
        <v>0.90214020162775899</v>
      </c>
      <c r="AG57" s="1110">
        <v>0.94976862365633863</v>
      </c>
      <c r="AH57" s="1110">
        <v>0.96174886294565198</v>
      </c>
      <c r="AI57" s="1110">
        <v>0.87118714527387886</v>
      </c>
      <c r="AJ57" s="1110">
        <v>0.93747368761313676</v>
      </c>
      <c r="AK57" s="1110">
        <v>0.88264141623564163</v>
      </c>
      <c r="AL57" s="1110">
        <v>0.93752102882350741</v>
      </c>
      <c r="AM57" s="1110">
        <v>1.830813873468826</v>
      </c>
      <c r="AN57" s="1110">
        <v>1.0448979960118741</v>
      </c>
      <c r="AO57" s="981">
        <v>0.86376427264515832</v>
      </c>
      <c r="AP57" s="981">
        <v>1.3520000000000001</v>
      </c>
      <c r="AQ57" s="981">
        <v>0.86699999999999999</v>
      </c>
      <c r="AR57" s="981">
        <v>0.88</v>
      </c>
      <c r="AS57" s="981">
        <v>0.76100000000000001</v>
      </c>
      <c r="AT57" s="981">
        <v>0.81499999999999995</v>
      </c>
      <c r="AU57" s="981">
        <v>0.81100000000000005</v>
      </c>
      <c r="AV57" s="981">
        <v>0.83799999999999997</v>
      </c>
      <c r="AW57" s="981">
        <v>0.81</v>
      </c>
      <c r="AX57" s="969"/>
      <c r="AY57" s="1110">
        <v>1.4620064609897119</v>
      </c>
      <c r="AZ57" s="1110">
        <v>1.0064228401965114</v>
      </c>
      <c r="BA57" s="1245">
        <v>45.558362079320048</v>
      </c>
      <c r="BB57" s="975"/>
      <c r="BC57" s="969"/>
      <c r="BD57" s="1110">
        <v>1.4620064609897119</v>
      </c>
      <c r="BE57" s="1110">
        <v>1.0064228401965114</v>
      </c>
      <c r="BF57" s="1110">
        <v>0.92398003142962715</v>
      </c>
      <c r="BG57" s="1110">
        <v>1.0297344697549433</v>
      </c>
      <c r="BH57" s="1110">
        <v>1.0266489657179134</v>
      </c>
      <c r="BI57" s="1110">
        <v>0.82271465386477127</v>
      </c>
      <c r="BJ57" s="1110">
        <f>BJ36/BJ20</f>
        <v>0.91058408379030265</v>
      </c>
      <c r="BK57" s="1057">
        <v>1.0988003458085367</v>
      </c>
      <c r="BL57" s="1057">
        <v>0.93</v>
      </c>
      <c r="BM57" s="1351">
        <v>0.81699999999999995</v>
      </c>
      <c r="BN57" s="1352">
        <v>0.79600000000000004</v>
      </c>
      <c r="BO57" s="1352">
        <v>0.83199999999999996</v>
      </c>
      <c r="BP57" s="1352">
        <v>0.84399999999999997</v>
      </c>
    </row>
    <row r="58" spans="1:71" ht="12.75" customHeight="1" x14ac:dyDescent="0.2">
      <c r="A58" s="1246" t="s">
        <v>79</v>
      </c>
      <c r="B58" s="1246"/>
      <c r="C58" s="1245">
        <v>-0.94857579484917409</v>
      </c>
      <c r="D58" s="975"/>
      <c r="E58" s="926"/>
      <c r="F58" s="945" t="e">
        <v>#DIV/0!</v>
      </c>
      <c r="G58" s="945" t="e">
        <v>#DIV/0!</v>
      </c>
      <c r="H58" s="945" t="e">
        <v>#DIV/0!</v>
      </c>
      <c r="I58" s="945">
        <v>4.8554660975846348E-2</v>
      </c>
      <c r="J58" s="981">
        <v>-0.13587043083539063</v>
      </c>
      <c r="K58" s="981">
        <v>-1.9282049307896634</v>
      </c>
      <c r="L58" s="981">
        <v>7.8645554611179308E-3</v>
      </c>
      <c r="M58" s="981">
        <v>5.8040418924338089E-2</v>
      </c>
      <c r="N58" s="981">
        <v>-0.12203987697072678</v>
      </c>
      <c r="O58" s="981">
        <v>-0.1532999741696752</v>
      </c>
      <c r="P58" s="981">
        <v>0.10557791688357861</v>
      </c>
      <c r="Q58" s="981">
        <v>9.4837837397579366E-2</v>
      </c>
      <c r="R58" s="981">
        <v>0.12615271844507148</v>
      </c>
      <c r="S58" s="981">
        <v>0.10573305218675176</v>
      </c>
      <c r="T58" s="981">
        <v>-5.2153230117944855E-3</v>
      </c>
      <c r="U58" s="981">
        <v>4.8672495473505988E-2</v>
      </c>
      <c r="V58" s="981">
        <v>2.7466956613494457E-2</v>
      </c>
      <c r="W58" s="981">
        <v>5.704708199458268E-2</v>
      </c>
      <c r="X58" s="981">
        <v>-9.8130215060102138E-2</v>
      </c>
      <c r="Y58" s="981">
        <v>-0.15071762976087211</v>
      </c>
      <c r="Z58" s="981">
        <v>-0.16905094207955337</v>
      </c>
      <c r="AA58" s="981">
        <v>3.4262183123829358E-2</v>
      </c>
      <c r="AB58" s="981">
        <v>-5.7707112970711294E-2</v>
      </c>
      <c r="AC58" s="981">
        <v>9.8564928684528388E-2</v>
      </c>
      <c r="AD58" s="981">
        <v>0.23552979664371251</v>
      </c>
      <c r="AE58" s="981">
        <v>0.24296600924523415</v>
      </c>
      <c r="AF58" s="981">
        <v>9.7859798372241014E-2</v>
      </c>
      <c r="AG58" s="981">
        <v>5.0231376343661344E-2</v>
      </c>
      <c r="AH58" s="981">
        <v>3.8251137054348051E-2</v>
      </c>
      <c r="AI58" s="981">
        <v>0.12881285472612111</v>
      </c>
      <c r="AJ58" s="981">
        <v>6.3526312386863196E-2</v>
      </c>
      <c r="AK58" s="981">
        <v>0.11635858376435841</v>
      </c>
      <c r="AL58" s="981">
        <v>6.2478971176492579E-2</v>
      </c>
      <c r="AM58" s="981">
        <v>-0.83081387346882596</v>
      </c>
      <c r="AN58" s="981">
        <v>-4.489799601187415E-2</v>
      </c>
      <c r="AO58" s="981">
        <v>0.13623572735484168</v>
      </c>
      <c r="AP58" s="981">
        <v>-0.35200000000000009</v>
      </c>
      <c r="AQ58" s="981">
        <v>0.13300000000000001</v>
      </c>
      <c r="AR58" s="981">
        <v>0.12</v>
      </c>
      <c r="AS58" s="981">
        <v>0.23899999999999999</v>
      </c>
      <c r="AT58" s="981">
        <v>0.185</v>
      </c>
      <c r="AU58" s="981">
        <v>0.18899999999999995</v>
      </c>
      <c r="AV58" s="981">
        <v>0.16200000000000003</v>
      </c>
      <c r="AW58" s="981">
        <v>0.19</v>
      </c>
      <c r="AX58" s="969"/>
      <c r="AY58" s="981">
        <v>-0.46200646098971193</v>
      </c>
      <c r="AZ58" s="981">
        <v>-6.4228401965114338E-3</v>
      </c>
      <c r="BA58" s="1245">
        <v>-45.558362079320048</v>
      </c>
      <c r="BB58" s="975"/>
      <c r="BC58" s="969"/>
      <c r="BD58" s="981">
        <v>-0.46200646098971193</v>
      </c>
      <c r="BE58" s="981">
        <v>-6.4228401965114338E-3</v>
      </c>
      <c r="BF58" s="981">
        <v>7.5519968570372895E-2</v>
      </c>
      <c r="BG58" s="981">
        <v>-2.9734469754943409E-2</v>
      </c>
      <c r="BH58" s="981">
        <v>-2.6648965717913448E-2</v>
      </c>
      <c r="BI58" s="1350">
        <v>0.17728534613522873</v>
      </c>
      <c r="BJ58" s="1350">
        <f>BJ38/BJ20</f>
        <v>8.9415916209697383E-2</v>
      </c>
      <c r="BK58" s="1057">
        <v>-9.8800345808536777E-2</v>
      </c>
      <c r="BL58" s="1057">
        <v>6.9999999999999951E-2</v>
      </c>
      <c r="BM58" s="1351">
        <v>0.18300000000000005</v>
      </c>
      <c r="BN58" s="1352">
        <v>0.20399999999999996</v>
      </c>
      <c r="BO58" s="1352">
        <v>0.16800000000000004</v>
      </c>
      <c r="BP58" s="1352">
        <v>0.15600000000000003</v>
      </c>
    </row>
    <row r="59" spans="1:71" ht="12.75" customHeight="1" x14ac:dyDescent="0.2">
      <c r="A59" s="1247" t="s">
        <v>80</v>
      </c>
      <c r="B59" s="1247"/>
      <c r="C59" s="1245">
        <v>13.593295145886641</v>
      </c>
      <c r="D59" s="975"/>
      <c r="E59" s="926"/>
      <c r="F59" s="945" t="e">
        <v>#DIV/0!</v>
      </c>
      <c r="G59" s="945" t="e">
        <v>#DIV/0!</v>
      </c>
      <c r="H59" s="945" t="e">
        <v>#DIV/0!</v>
      </c>
      <c r="I59" s="945">
        <v>0.25531914893617019</v>
      </c>
      <c r="J59" s="981">
        <v>0.16810755366693531</v>
      </c>
      <c r="K59" s="981">
        <v>1.2067229670953371E-2</v>
      </c>
      <c r="L59" s="981">
        <v>1.2875250166777852</v>
      </c>
      <c r="M59" s="981">
        <v>0.11938619747730377</v>
      </c>
      <c r="N59" s="981">
        <v>7.2188931970391265E-2</v>
      </c>
      <c r="O59" s="981">
        <v>0.15834639498432601</v>
      </c>
      <c r="P59" s="981">
        <v>0.293886550410904</v>
      </c>
      <c r="Q59" s="981">
        <v>0.18975437993816557</v>
      </c>
      <c r="R59" s="981">
        <v>0.19027834181999936</v>
      </c>
      <c r="S59" s="981">
        <v>0.24922194922194923</v>
      </c>
      <c r="T59" s="981">
        <v>0.91631799163179917</v>
      </c>
      <c r="U59" s="981">
        <v>0.13497201799626907</v>
      </c>
      <c r="V59" s="981">
        <v>-7.2991481543343908E-2</v>
      </c>
      <c r="W59" s="981">
        <v>0.21774255011050986</v>
      </c>
      <c r="X59" s="981">
        <v>0.18950357708481241</v>
      </c>
      <c r="Y59" s="981">
        <v>0.15825135719825298</v>
      </c>
      <c r="Z59" s="981">
        <v>-5.8424048736642364E-2</v>
      </c>
      <c r="AA59" s="981">
        <v>0.50049338859285575</v>
      </c>
      <c r="AB59" s="981">
        <v>0.23462877030162413</v>
      </c>
      <c r="AC59" s="981">
        <v>0.16216902660486379</v>
      </c>
      <c r="AD59" s="981">
        <v>0.29139515741820426</v>
      </c>
      <c r="AE59" s="981">
        <v>0.30555914464758704</v>
      </c>
      <c r="AF59" s="981">
        <v>0.29830926141419672</v>
      </c>
      <c r="AG59" s="981">
        <v>0.32223823876294061</v>
      </c>
      <c r="AH59" s="981">
        <v>-0.37461187214611874</v>
      </c>
      <c r="AI59" s="981">
        <v>0.3225907664724339</v>
      </c>
      <c r="AJ59" s="981">
        <v>0.14183946062841879</v>
      </c>
      <c r="AK59" s="981">
        <v>0.43032197561738045</v>
      </c>
      <c r="AL59" s="981">
        <v>0.45160807778608825</v>
      </c>
      <c r="AM59" s="981">
        <v>0.13886549691456024</v>
      </c>
      <c r="AN59" s="981">
        <v>-8.4807073954983922E-2</v>
      </c>
      <c r="AO59" s="981">
        <v>0.30048025840452208</v>
      </c>
      <c r="AP59" s="981">
        <v>0.30467977372522648</v>
      </c>
      <c r="AQ59" s="981">
        <v>0.38100000000000001</v>
      </c>
      <c r="AR59" s="981">
        <v>0.35099999999999998</v>
      </c>
      <c r="AS59" s="981">
        <v>0.33500000000000002</v>
      </c>
      <c r="AT59" s="981">
        <v>0.35180386685270082</v>
      </c>
      <c r="AU59" s="981">
        <v>0.29599999999999999</v>
      </c>
      <c r="AV59" s="981">
        <v>0.29499999999999998</v>
      </c>
      <c r="AW59" s="981">
        <v>0.33800000000000002</v>
      </c>
      <c r="AX59" s="969"/>
      <c r="AY59" s="981">
        <v>1.4847336738366518E-2</v>
      </c>
      <c r="AZ59" s="981">
        <v>-1.0007070885628424</v>
      </c>
      <c r="BA59" s="1245">
        <v>101.5554425301209</v>
      </c>
      <c r="BB59" s="975"/>
      <c r="BC59" s="969"/>
      <c r="BD59" s="981">
        <v>1.4847336738366518E-2</v>
      </c>
      <c r="BE59" s="981">
        <v>-1.00070708856284</v>
      </c>
      <c r="BF59" s="981">
        <v>0.19401436799405461</v>
      </c>
      <c r="BG59" s="981">
        <v>0.20787275335414732</v>
      </c>
      <c r="BH59" s="981">
        <v>-0.32427569948507973</v>
      </c>
      <c r="BI59" s="1350">
        <v>0.29991156156999271</v>
      </c>
      <c r="BJ59" s="1350">
        <f t="shared" ref="BJ59" si="0">BJ40/BJ38</f>
        <v>0.25452644216804476</v>
      </c>
      <c r="BK59" s="1057">
        <v>-9.576474077840633E-3</v>
      </c>
      <c r="BL59" s="1057">
        <v>0.39193883293551457</v>
      </c>
      <c r="BM59" s="981">
        <v>0.32374798295187307</v>
      </c>
      <c r="BN59" s="1352">
        <v>0.318</v>
      </c>
      <c r="BO59" s="1352">
        <v>0.33200000000000002</v>
      </c>
      <c r="BP59" s="1352">
        <v>0.35399999999999998</v>
      </c>
    </row>
    <row r="60" spans="1:71" ht="12.75" customHeight="1" x14ac:dyDescent="0.2">
      <c r="A60" s="1247" t="s">
        <v>81</v>
      </c>
      <c r="B60" s="1247"/>
      <c r="C60" s="1245">
        <v>-1.4953467750362639</v>
      </c>
      <c r="D60" s="975"/>
      <c r="E60" s="926"/>
      <c r="F60" s="945" t="e">
        <v>#DIV/0!</v>
      </c>
      <c r="G60" s="945" t="e">
        <v>#DIV/0!</v>
      </c>
      <c r="H60" s="945" t="e">
        <v>#DIV/0!</v>
      </c>
      <c r="I60" s="945">
        <v>3.6157726258608983E-2</v>
      </c>
      <c r="J60" s="981">
        <v>-0.11302958509198056</v>
      </c>
      <c r="K60" s="981">
        <v>-1.9049368390371597</v>
      </c>
      <c r="L60" s="981">
        <v>-2.2612564401212998E-3</v>
      </c>
      <c r="M60" s="981">
        <v>5.1111194008971621E-2</v>
      </c>
      <c r="N60" s="981">
        <v>-0.11322994859441206</v>
      </c>
      <c r="O60" s="981">
        <v>-0.12902547590871682</v>
      </c>
      <c r="P60" s="981">
        <v>7.4549987091094547E-2</v>
      </c>
      <c r="Q60" s="981">
        <v>7.6841942367525132E-2</v>
      </c>
      <c r="R60" s="981">
        <v>0.10214858836325803</v>
      </c>
      <c r="S60" s="981">
        <v>7.9382054823583403E-2</v>
      </c>
      <c r="T60" s="981">
        <v>-4.3642870391585653E-4</v>
      </c>
      <c r="U60" s="981">
        <v>4.2103070538532614E-2</v>
      </c>
      <c r="V60" s="981">
        <v>2.9471810470200165E-2</v>
      </c>
      <c r="W60" s="981">
        <v>4.4625504884718892E-2</v>
      </c>
      <c r="X60" s="981">
        <v>-7.9534188286110863E-2</v>
      </c>
      <c r="Y60" s="981">
        <v>-0.12686636029751028</v>
      </c>
      <c r="Z60" s="981">
        <v>-0.17892758255858451</v>
      </c>
      <c r="AA60" s="981">
        <v>1.7114186991595049E-2</v>
      </c>
      <c r="AB60" s="981">
        <v>-4.4167364016736405E-2</v>
      </c>
      <c r="AC60" s="981">
        <v>8.2580750142380602E-2</v>
      </c>
      <c r="AD60" s="981">
        <v>0.16689755447404026</v>
      </c>
      <c r="AE60" s="981">
        <v>0.16872552328182266</v>
      </c>
      <c r="AF60" s="981">
        <v>6.8667314197675591E-2</v>
      </c>
      <c r="AG60" s="981">
        <v>3.4044906100041468E-2</v>
      </c>
      <c r="AH60" s="981">
        <v>5.2580467117995154E-2</v>
      </c>
      <c r="AI60" s="981">
        <v>8.725901718851943E-2</v>
      </c>
      <c r="AJ60" s="981">
        <v>5.4515774502198085E-2</v>
      </c>
      <c r="AK60" s="981">
        <v>6.6286928118839253E-2</v>
      </c>
      <c r="AL60" s="981">
        <v>3.4262963101424355E-2</v>
      </c>
      <c r="AM60" s="981">
        <v>-0.71544249208606692</v>
      </c>
      <c r="AN60" s="981">
        <v>-4.8705663680083736E-2</v>
      </c>
      <c r="AO60" s="981">
        <v>9.5299580795330852E-2</v>
      </c>
      <c r="AP60" s="981">
        <v>-0.245</v>
      </c>
      <c r="AQ60" s="981">
        <v>8.2000000000000003E-2</v>
      </c>
      <c r="AR60" s="981">
        <v>7.8E-2</v>
      </c>
      <c r="AS60" s="981">
        <v>0.159</v>
      </c>
      <c r="AT60" s="981">
        <v>0.12</v>
      </c>
      <c r="AU60" s="981">
        <v>0.13300000000000001</v>
      </c>
      <c r="AV60" s="981">
        <v>0.114</v>
      </c>
      <c r="AW60" s="981">
        <v>0.126</v>
      </c>
      <c r="AX60" s="969"/>
      <c r="AY60" s="981">
        <v>-0.45514689548809667</v>
      </c>
      <c r="AZ60" s="981">
        <v>-1.2850221909866786E-2</v>
      </c>
      <c r="BA60" s="1245">
        <v>-44.22966735782299</v>
      </c>
      <c r="BB60" s="975"/>
      <c r="BC60" s="969"/>
      <c r="BD60" s="981">
        <v>-0.45514689548809667</v>
      </c>
      <c r="BE60" s="981">
        <v>-1.2850221909866786E-2</v>
      </c>
      <c r="BF60" s="981">
        <v>6.086800959726113E-2</v>
      </c>
      <c r="BG60" s="981">
        <v>-2.3553483657457703E-2</v>
      </c>
      <c r="BH60" s="981">
        <v>-3.5290577716643741E-2</v>
      </c>
      <c r="BI60" s="1350">
        <v>0.12411542113233562</v>
      </c>
      <c r="BJ60" s="1350">
        <f>BJ42/BJ20</f>
        <v>6.6657201183647111E-2</v>
      </c>
      <c r="BK60" s="1057">
        <v>-9.9746504759053931E-2</v>
      </c>
      <c r="BL60" s="1057">
        <v>4.2999999999999997E-2</v>
      </c>
      <c r="BM60" s="981">
        <v>0.12346977331638732</v>
      </c>
      <c r="BN60" s="1352">
        <v>0.13900000000000001</v>
      </c>
      <c r="BO60" s="1352">
        <v>0.112</v>
      </c>
      <c r="BP60" s="1352">
        <v>0.10100000000000001</v>
      </c>
    </row>
    <row r="61" spans="1:71" ht="12.75" customHeight="1" x14ac:dyDescent="0.2">
      <c r="A61" s="1244"/>
      <c r="B61" s="1244"/>
      <c r="C61" s="1249"/>
      <c r="D61" s="975"/>
      <c r="E61" s="926"/>
      <c r="F61" s="926"/>
      <c r="G61" s="926"/>
      <c r="H61" s="926"/>
      <c r="I61" s="918"/>
      <c r="J61" s="975"/>
      <c r="K61" s="975"/>
      <c r="L61" s="975"/>
      <c r="M61" s="969"/>
      <c r="N61" s="975"/>
      <c r="O61" s="975"/>
      <c r="P61" s="975"/>
      <c r="Q61" s="969"/>
      <c r="R61" s="975"/>
      <c r="S61" s="975"/>
      <c r="T61" s="975"/>
      <c r="U61" s="969"/>
      <c r="V61" s="975"/>
      <c r="W61" s="975"/>
      <c r="X61" s="975"/>
      <c r="Y61" s="969"/>
      <c r="Z61" s="975"/>
      <c r="AA61" s="975"/>
      <c r="AB61" s="975"/>
      <c r="AC61" s="969"/>
      <c r="AD61" s="975"/>
      <c r="AE61" s="975"/>
      <c r="AF61" s="975"/>
      <c r="AG61" s="969"/>
      <c r="AH61" s="975"/>
      <c r="AI61" s="975"/>
      <c r="AJ61" s="975"/>
      <c r="AK61" s="969"/>
      <c r="AL61" s="975"/>
      <c r="AM61" s="975"/>
      <c r="AN61" s="975"/>
      <c r="AO61" s="969"/>
      <c r="AP61" s="1086"/>
      <c r="AQ61" s="1086"/>
      <c r="AR61" s="1086"/>
      <c r="AS61" s="1086"/>
      <c r="AT61" s="1086"/>
      <c r="AU61" s="1086"/>
      <c r="AV61" s="1086"/>
      <c r="AW61" s="1086"/>
      <c r="AX61" s="969"/>
      <c r="AY61" s="969"/>
      <c r="AZ61" s="969"/>
      <c r="BA61" s="1025"/>
      <c r="BB61" s="975"/>
      <c r="BC61" s="969"/>
      <c r="BD61" s="1057"/>
      <c r="BE61" s="1057"/>
      <c r="BF61" s="1057"/>
      <c r="BG61" s="1057"/>
      <c r="BH61" s="1057"/>
      <c r="BI61" s="1057"/>
      <c r="BJ61" s="1057"/>
      <c r="BK61" s="1113"/>
      <c r="BL61" s="1113"/>
      <c r="BM61" s="1086"/>
      <c r="BN61" s="1353"/>
      <c r="BO61" s="1353"/>
      <c r="BP61" s="1353"/>
    </row>
    <row r="62" spans="1:71" s="914" customFormat="1" ht="12.75" customHeight="1" x14ac:dyDescent="0.2">
      <c r="A62" s="1244" t="s">
        <v>408</v>
      </c>
      <c r="B62" s="1244"/>
      <c r="C62" s="1092">
        <v>-0.04</v>
      </c>
      <c r="D62" s="975">
        <v>-0.5</v>
      </c>
      <c r="E62" s="926"/>
      <c r="F62" s="1217"/>
      <c r="G62" s="1217"/>
      <c r="H62" s="1217"/>
      <c r="I62" s="1217">
        <v>0.04</v>
      </c>
      <c r="J62" s="1354">
        <v>-0.28999999999999998</v>
      </c>
      <c r="K62" s="1354">
        <v>-3.91</v>
      </c>
      <c r="L62" s="1354">
        <v>-0.03</v>
      </c>
      <c r="M62" s="1354">
        <v>0.08</v>
      </c>
      <c r="N62" s="1354">
        <v>-0.33</v>
      </c>
      <c r="O62" s="1354">
        <v>-0.27</v>
      </c>
      <c r="P62" s="1354">
        <v>0.16</v>
      </c>
      <c r="Q62" s="1354">
        <v>0.16</v>
      </c>
      <c r="R62" s="1354">
        <v>0.24</v>
      </c>
      <c r="S62" s="1354">
        <v>0.15</v>
      </c>
      <c r="T62" s="1354">
        <v>-0.03</v>
      </c>
      <c r="U62" s="1354">
        <v>0.06</v>
      </c>
      <c r="V62" s="1354">
        <v>0.04</v>
      </c>
      <c r="W62" s="1354">
        <v>0.09</v>
      </c>
      <c r="X62" s="1354">
        <v>-0.19</v>
      </c>
      <c r="Y62" s="1102">
        <v>-0.24</v>
      </c>
      <c r="Z62" s="1354">
        <v>-0.42</v>
      </c>
      <c r="AA62" s="1042">
        <v>0.02</v>
      </c>
      <c r="AB62" s="1354">
        <v>-0.09</v>
      </c>
      <c r="AC62" s="1042">
        <v>0.17</v>
      </c>
      <c r="AD62" s="1042">
        <v>0.55000000000000004</v>
      </c>
      <c r="AE62" s="1042">
        <v>0.56999999999999995</v>
      </c>
      <c r="AF62" s="1042">
        <v>0.14000000000000001</v>
      </c>
      <c r="AG62" s="1042">
        <v>0.08</v>
      </c>
      <c r="AH62" s="1354">
        <v>0.15</v>
      </c>
      <c r="AI62" s="1354">
        <v>0.31</v>
      </c>
      <c r="AJ62" s="1354">
        <v>0.14000000000000001</v>
      </c>
      <c r="AK62" s="969">
        <v>0.19</v>
      </c>
      <c r="AL62" s="1354">
        <v>7.0000000000000007E-2</v>
      </c>
      <c r="AM62" s="1354">
        <v>-1.27</v>
      </c>
      <c r="AN62" s="1354">
        <v>-0.11</v>
      </c>
      <c r="AO62" s="969">
        <v>0.35</v>
      </c>
      <c r="AP62" s="1041">
        <v>-0.8</v>
      </c>
      <c r="AQ62" s="1041">
        <v>0.34</v>
      </c>
      <c r="AR62" s="1041">
        <v>0.28000000000000003</v>
      </c>
      <c r="AS62" s="1041">
        <v>0.86</v>
      </c>
      <c r="AT62" s="1041">
        <v>0.56999999999999995</v>
      </c>
      <c r="AU62" s="1041">
        <v>0.51</v>
      </c>
      <c r="AV62" s="1041">
        <v>0.39</v>
      </c>
      <c r="AW62" s="1041">
        <v>0.56999999999999995</v>
      </c>
      <c r="AX62" s="969"/>
      <c r="AY62" s="1092">
        <v>-4.04</v>
      </c>
      <c r="AZ62" s="1034">
        <v>-0.27</v>
      </c>
      <c r="BA62" s="1092">
        <v>-3.82</v>
      </c>
      <c r="BB62" s="975" t="s">
        <v>42</v>
      </c>
      <c r="BC62" s="969"/>
      <c r="BD62" s="1041">
        <v>-4.09</v>
      </c>
      <c r="BE62" s="1041">
        <v>-0.27</v>
      </c>
      <c r="BF62" s="1041">
        <v>0.42</v>
      </c>
      <c r="BG62" s="1041">
        <v>-0.31</v>
      </c>
      <c r="BH62" s="1041">
        <v>-0.33</v>
      </c>
      <c r="BI62" s="1041">
        <v>1.37</v>
      </c>
      <c r="BJ62" s="1041">
        <v>0.79</v>
      </c>
      <c r="BK62" s="1041">
        <v>-0.97</v>
      </c>
      <c r="BL62" s="1041">
        <v>0.7</v>
      </c>
      <c r="BM62" s="1041">
        <v>2.0299999999999998</v>
      </c>
      <c r="BN62" s="1349">
        <v>1.82</v>
      </c>
      <c r="BO62" s="1349">
        <v>1.17</v>
      </c>
      <c r="BP62" s="1349">
        <v>1.43</v>
      </c>
      <c r="BQ62" s="963"/>
      <c r="BR62" s="963"/>
    </row>
    <row r="63" spans="1:71" s="914" customFormat="1" ht="12.75" customHeight="1" x14ac:dyDescent="0.2">
      <c r="A63" s="1244" t="s">
        <v>410</v>
      </c>
      <c r="B63" s="1244"/>
      <c r="C63" s="1092">
        <v>-0.04</v>
      </c>
      <c r="D63" s="975">
        <v>-0.5</v>
      </c>
      <c r="E63" s="926"/>
      <c r="F63" s="1217"/>
      <c r="G63" s="1217"/>
      <c r="H63" s="1217"/>
      <c r="I63" s="1217">
        <v>0.04</v>
      </c>
      <c r="J63" s="1354">
        <v>-0.28999999999999998</v>
      </c>
      <c r="K63" s="1354">
        <v>-3.91</v>
      </c>
      <c r="L63" s="1354">
        <v>-0.03</v>
      </c>
      <c r="M63" s="1354">
        <v>0.08</v>
      </c>
      <c r="N63" s="1354">
        <v>-0.33</v>
      </c>
      <c r="O63" s="1354">
        <v>-0.27</v>
      </c>
      <c r="P63" s="1354">
        <v>0.14000000000000001</v>
      </c>
      <c r="Q63" s="1354">
        <v>0.15</v>
      </c>
      <c r="R63" s="1354">
        <v>0.22</v>
      </c>
      <c r="S63" s="1354">
        <v>0.14000000000000001</v>
      </c>
      <c r="T63" s="1354">
        <v>-0.03</v>
      </c>
      <c r="U63" s="1354">
        <v>0.06</v>
      </c>
      <c r="V63" s="1354">
        <v>0.04</v>
      </c>
      <c r="W63" s="1354">
        <v>0.08</v>
      </c>
      <c r="X63" s="1354">
        <v>-0.19</v>
      </c>
      <c r="Y63" s="1102">
        <v>-0.24</v>
      </c>
      <c r="Z63" s="1354">
        <v>-0.42</v>
      </c>
      <c r="AA63" s="1042">
        <v>0.01</v>
      </c>
      <c r="AB63" s="1354">
        <v>-0.09</v>
      </c>
      <c r="AC63" s="1042">
        <v>0.16</v>
      </c>
      <c r="AD63" s="1042">
        <v>0.49</v>
      </c>
      <c r="AE63" s="1042">
        <v>0.51</v>
      </c>
      <c r="AF63" s="1042">
        <v>0.12</v>
      </c>
      <c r="AG63" s="1042">
        <v>7.0000000000000007E-2</v>
      </c>
      <c r="AH63" s="1354">
        <v>0.14000000000000001</v>
      </c>
      <c r="AI63" s="1354">
        <v>0.27</v>
      </c>
      <c r="AJ63" s="1354">
        <v>0.12</v>
      </c>
      <c r="AK63" s="969">
        <v>0.16</v>
      </c>
      <c r="AL63" s="1354">
        <v>7.0000000000000007E-2</v>
      </c>
      <c r="AM63" s="1354">
        <v>-1.27</v>
      </c>
      <c r="AN63" s="1354">
        <v>-0.11</v>
      </c>
      <c r="AO63" s="969">
        <v>0.31</v>
      </c>
      <c r="AP63" s="1041">
        <v>-0.8</v>
      </c>
      <c r="AQ63" s="1041">
        <v>0.31</v>
      </c>
      <c r="AR63" s="1041">
        <v>0.26</v>
      </c>
      <c r="AS63" s="1041">
        <v>0.8</v>
      </c>
      <c r="AT63" s="1041">
        <v>0.54</v>
      </c>
      <c r="AU63" s="1041">
        <v>0.49</v>
      </c>
      <c r="AV63" s="1041">
        <v>0.37</v>
      </c>
      <c r="AW63" s="1041">
        <v>0.54</v>
      </c>
      <c r="AX63" s="969"/>
      <c r="AY63" s="1092">
        <v>-4.04</v>
      </c>
      <c r="AZ63" s="1034">
        <v>-0.27</v>
      </c>
      <c r="BA63" s="1092">
        <v>-3.82</v>
      </c>
      <c r="BB63" s="975" t="s">
        <v>42</v>
      </c>
      <c r="BC63" s="969"/>
      <c r="BD63" s="1041">
        <v>-4.09</v>
      </c>
      <c r="BE63" s="1041">
        <v>-0.27</v>
      </c>
      <c r="BF63" s="1041">
        <v>0.39</v>
      </c>
      <c r="BG63" s="1041">
        <v>-0.31</v>
      </c>
      <c r="BH63" s="1041">
        <v>-0.33</v>
      </c>
      <c r="BI63" s="1041">
        <v>1.22</v>
      </c>
      <c r="BJ63" s="1041">
        <v>0.69</v>
      </c>
      <c r="BK63" s="1041">
        <v>-0.97</v>
      </c>
      <c r="BL63" s="1041">
        <v>0.64</v>
      </c>
      <c r="BM63" s="1355">
        <v>1.94</v>
      </c>
      <c r="BN63" s="1349">
        <v>1.74</v>
      </c>
      <c r="BO63" s="1349">
        <v>1.1100000000000001</v>
      </c>
      <c r="BP63" s="1349">
        <v>1.1200000000000001</v>
      </c>
      <c r="BQ63" s="963"/>
      <c r="BR63" s="963"/>
    </row>
    <row r="64" spans="1:71" s="914" customFormat="1" ht="12.75" customHeight="1" x14ac:dyDescent="0.2">
      <c r="A64" s="1244" t="s">
        <v>245</v>
      </c>
      <c r="B64" s="1244"/>
      <c r="C64" s="1092">
        <v>-3.8944997064497189</v>
      </c>
      <c r="D64" s="975">
        <v>-0.46696639166063775</v>
      </c>
      <c r="E64" s="926"/>
      <c r="F64" s="1217">
        <v>0</v>
      </c>
      <c r="G64" s="1217">
        <v>0</v>
      </c>
      <c r="H64" s="1217">
        <v>0</v>
      </c>
      <c r="I64" s="1217">
        <v>4.445500293550281</v>
      </c>
      <c r="J64" s="1354">
        <v>4.990171629749157</v>
      </c>
      <c r="K64" s="1354">
        <v>5.3274116540838587</v>
      </c>
      <c r="L64" s="1354">
        <v>8.3842300334057658</v>
      </c>
      <c r="M64" s="1354">
        <v>8.34</v>
      </c>
      <c r="N64" s="1354">
        <v>8.7100000000000009</v>
      </c>
      <c r="O64" s="1354">
        <v>8.6300000000000008</v>
      </c>
      <c r="P64" s="1354">
        <v>8.9</v>
      </c>
      <c r="Q64" s="1354">
        <v>8.6999999999999993</v>
      </c>
      <c r="R64" s="1354">
        <v>9.0500000000000007</v>
      </c>
      <c r="S64" s="1354">
        <v>8.43</v>
      </c>
      <c r="T64" s="1354">
        <v>8</v>
      </c>
      <c r="U64" s="1354">
        <v>7.8690965112156039</v>
      </c>
      <c r="V64" s="1354">
        <v>7.6805825717690102</v>
      </c>
      <c r="W64" s="1354">
        <v>7.619629128942214</v>
      </c>
      <c r="X64" s="1354">
        <v>7.6129029043796193</v>
      </c>
      <c r="Y64" s="1042">
        <v>7.9026240300341399</v>
      </c>
      <c r="Z64" s="1042">
        <v>8.26</v>
      </c>
      <c r="AA64" s="1042">
        <v>8.54362469180208</v>
      </c>
      <c r="AB64" s="1354">
        <v>8.7541612287663693</v>
      </c>
      <c r="AC64" s="1042">
        <v>8.7073727909457759</v>
      </c>
      <c r="AD64" s="1042">
        <v>8.7928854314765257</v>
      </c>
      <c r="AE64" s="1042">
        <v>8.4331234596167377</v>
      </c>
      <c r="AF64" s="1042">
        <v>8.047419145036363</v>
      </c>
      <c r="AG64" s="1042">
        <v>7.8610513978754888</v>
      </c>
      <c r="AH64" s="1354">
        <v>6.96</v>
      </c>
      <c r="AI64" s="1354">
        <v>7</v>
      </c>
      <c r="AJ64" s="1354">
        <v>6.78</v>
      </c>
      <c r="AK64" s="969">
        <v>6.73</v>
      </c>
      <c r="AL64" s="1354">
        <v>6.51</v>
      </c>
      <c r="AM64" s="1354">
        <v>6.37</v>
      </c>
      <c r="AN64" s="1354">
        <v>7.15</v>
      </c>
      <c r="AO64" s="969">
        <v>7.66</v>
      </c>
      <c r="AP64" s="1041">
        <v>7.21</v>
      </c>
      <c r="AQ64" s="1041">
        <v>7.95</v>
      </c>
      <c r="AR64" s="1041">
        <v>7.83</v>
      </c>
      <c r="AS64" s="1041">
        <v>7.96</v>
      </c>
      <c r="AT64" s="1041">
        <v>7.74</v>
      </c>
      <c r="AU64" s="1041">
        <v>7.43</v>
      </c>
      <c r="AV64" s="1041">
        <v>6.82</v>
      </c>
      <c r="AW64" s="1041">
        <v>6.49</v>
      </c>
      <c r="AX64" s="969"/>
      <c r="AY64" s="1092">
        <v>4.990171629749157</v>
      </c>
      <c r="AZ64" s="1042">
        <v>8.7100000000000009</v>
      </c>
      <c r="BA64" s="1092">
        <v>-3.7198283702508439</v>
      </c>
      <c r="BB64" s="975">
        <v>-0.42707558785887983</v>
      </c>
      <c r="BC64" s="969"/>
      <c r="BD64" s="1041">
        <v>4.990171629749157</v>
      </c>
      <c r="BE64" s="1041">
        <v>8.7100000000000009</v>
      </c>
      <c r="BF64" s="1041">
        <v>9.0500000000000007</v>
      </c>
      <c r="BG64" s="1041">
        <v>7.6805825717690102</v>
      </c>
      <c r="BH64" s="1041">
        <v>8.26</v>
      </c>
      <c r="BI64" s="1041">
        <v>8.7885987238297076</v>
      </c>
      <c r="BJ64" s="1041">
        <v>6.96</v>
      </c>
      <c r="BK64" s="1041">
        <v>6.51</v>
      </c>
      <c r="BL64" s="1041">
        <v>7.21</v>
      </c>
      <c r="BM64" s="1041">
        <v>7.74</v>
      </c>
      <c r="BN64" s="1349">
        <v>5.99</v>
      </c>
      <c r="BO64" s="1349">
        <v>4.82</v>
      </c>
      <c r="BP64" s="1349">
        <v>2.59</v>
      </c>
      <c r="BQ64" s="963"/>
      <c r="BR64" s="963"/>
    </row>
    <row r="65" spans="1:72" s="914" customFormat="1" ht="12.75" customHeight="1" x14ac:dyDescent="0.2">
      <c r="A65" s="969"/>
      <c r="B65" s="969"/>
      <c r="C65" s="969"/>
      <c r="D65" s="969"/>
      <c r="E65" s="918"/>
      <c r="F65" s="918"/>
      <c r="G65" s="918"/>
      <c r="H65" s="918"/>
      <c r="I65" s="918"/>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c r="AL65" s="969"/>
      <c r="AM65" s="969"/>
      <c r="AN65" s="969"/>
      <c r="AO65" s="969"/>
      <c r="AP65" s="969"/>
      <c r="AQ65" s="969"/>
      <c r="AR65" s="969"/>
      <c r="AS65" s="969"/>
      <c r="AT65" s="969"/>
      <c r="AU65" s="969"/>
      <c r="AV65" s="969"/>
      <c r="AW65" s="969"/>
      <c r="AX65" s="969"/>
      <c r="AY65" s="969"/>
      <c r="AZ65" s="969"/>
      <c r="BA65" s="969"/>
      <c r="BB65" s="969"/>
      <c r="BC65" s="969"/>
      <c r="BD65" s="969"/>
      <c r="BE65" s="969"/>
      <c r="BF65" s="969"/>
      <c r="BG65" s="969"/>
      <c r="BH65" s="969"/>
      <c r="BI65" s="969"/>
      <c r="BJ65" s="969"/>
      <c r="BK65" s="969"/>
      <c r="BL65" s="969"/>
      <c r="BM65" s="969"/>
      <c r="BN65" s="1244"/>
      <c r="BO65" s="1244"/>
      <c r="BP65" s="1244"/>
      <c r="BQ65" s="963"/>
      <c r="BR65" s="963"/>
      <c r="BS65" s="2265"/>
    </row>
    <row r="66" spans="1:72" s="914" customFormat="1" ht="18" customHeight="1" x14ac:dyDescent="0.2">
      <c r="A66" s="986" t="s">
        <v>252</v>
      </c>
      <c r="B66" s="969"/>
      <c r="C66" s="1244"/>
      <c r="D66" s="1244"/>
      <c r="E66" s="918"/>
      <c r="F66" s="918"/>
      <c r="G66" s="918"/>
      <c r="H66" s="918"/>
      <c r="I66" s="918"/>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310"/>
      <c r="AK66" s="969"/>
      <c r="AL66" s="969"/>
      <c r="AM66" s="969"/>
      <c r="AN66" s="969"/>
      <c r="AO66" s="969"/>
      <c r="AP66" s="969"/>
      <c r="AQ66" s="969"/>
      <c r="AR66" s="1244"/>
      <c r="AS66" s="1244"/>
      <c r="AT66" s="1244"/>
      <c r="AU66" s="1244"/>
      <c r="AV66" s="1244"/>
      <c r="AW66" s="1244"/>
      <c r="AX66" s="969"/>
      <c r="AY66" s="1356"/>
      <c r="AZ66" s="1244"/>
      <c r="BA66" s="1244"/>
      <c r="BB66" s="1244"/>
      <c r="BC66" s="1244"/>
      <c r="BD66" s="1324"/>
      <c r="BE66" s="1324"/>
      <c r="BF66" s="1324"/>
      <c r="BG66" s="1324"/>
      <c r="BH66" s="1324"/>
      <c r="BI66" s="1244"/>
      <c r="BJ66" s="1244"/>
      <c r="BK66" s="1244"/>
      <c r="BL66" s="1244"/>
      <c r="BM66" s="1244"/>
      <c r="BN66" s="1349"/>
      <c r="BO66" s="1349"/>
      <c r="BP66" s="1349"/>
      <c r="BQ66" s="963"/>
      <c r="BR66" s="963"/>
    </row>
    <row r="67" spans="1:72" s="914" customFormat="1" ht="12.75" customHeight="1" x14ac:dyDescent="0.2">
      <c r="A67" s="982"/>
      <c r="B67" s="969"/>
      <c r="C67" s="1244"/>
      <c r="D67" s="1244"/>
      <c r="E67" s="918"/>
      <c r="F67" s="1218"/>
      <c r="G67" s="1218"/>
      <c r="H67" s="1218"/>
      <c r="I67" s="918"/>
      <c r="J67" s="1357"/>
      <c r="K67" s="1357"/>
      <c r="L67" s="1357"/>
      <c r="M67" s="969"/>
      <c r="N67" s="1357"/>
      <c r="O67" s="1357"/>
      <c r="P67" s="1357"/>
      <c r="Q67" s="969"/>
      <c r="R67" s="1357"/>
      <c r="S67" s="1357"/>
      <c r="T67" s="1357"/>
      <c r="U67" s="969"/>
      <c r="V67" s="1357"/>
      <c r="W67" s="1357"/>
      <c r="X67" s="1357"/>
      <c r="Y67" s="969"/>
      <c r="Z67" s="1357"/>
      <c r="AA67" s="969"/>
      <c r="AB67" s="1357"/>
      <c r="AC67" s="969"/>
      <c r="AD67" s="1357"/>
      <c r="AE67" s="969"/>
      <c r="AF67" s="969"/>
      <c r="AG67" s="969"/>
      <c r="AH67" s="1357"/>
      <c r="AI67" s="1357"/>
      <c r="AJ67" s="1357"/>
      <c r="AK67" s="969"/>
      <c r="AL67" s="1357"/>
      <c r="AM67" s="1357"/>
      <c r="AN67" s="969"/>
      <c r="AO67" s="969"/>
      <c r="AP67" s="969"/>
      <c r="AQ67" s="969"/>
      <c r="AR67" s="1244"/>
      <c r="AS67" s="1244"/>
      <c r="AT67" s="1244"/>
      <c r="AU67" s="1244"/>
      <c r="AV67" s="1244"/>
      <c r="AW67" s="1244"/>
      <c r="AX67" s="969"/>
      <c r="AY67" s="1244"/>
      <c r="AZ67" s="1244"/>
      <c r="BA67" s="1244"/>
      <c r="BB67" s="1244"/>
      <c r="BC67" s="1244"/>
      <c r="BD67" s="1244"/>
      <c r="BE67" s="1244"/>
      <c r="BF67" s="1244"/>
      <c r="BG67" s="1244"/>
      <c r="BH67" s="1244"/>
      <c r="BI67" s="1244"/>
      <c r="BJ67" s="1244"/>
      <c r="BK67" s="1244"/>
      <c r="BL67" s="1244"/>
      <c r="BM67" s="1244"/>
      <c r="BN67" s="1349"/>
      <c r="BO67" s="1349"/>
      <c r="BP67" s="1349"/>
      <c r="BQ67" s="963"/>
      <c r="BR67" s="963"/>
    </row>
    <row r="68" spans="1:72" s="914" customFormat="1" ht="12.75" customHeight="1" x14ac:dyDescent="0.2">
      <c r="A68" s="968"/>
      <c r="B68" s="969"/>
      <c r="C68" s="2455" t="s">
        <v>456</v>
      </c>
      <c r="D68" s="2456"/>
      <c r="E68" s="919"/>
      <c r="F68" s="1219"/>
      <c r="G68" s="1219"/>
      <c r="H68" s="1219"/>
      <c r="I68" s="2294"/>
      <c r="J68" s="1358"/>
      <c r="K68" s="1358"/>
      <c r="L68" s="1358"/>
      <c r="M68" s="1359"/>
      <c r="N68" s="1358"/>
      <c r="O68" s="1358"/>
      <c r="P68" s="1358"/>
      <c r="Q68" s="1359"/>
      <c r="R68" s="1358"/>
      <c r="S68" s="1358"/>
      <c r="T68" s="1358"/>
      <c r="U68" s="1359"/>
      <c r="V68" s="1358"/>
      <c r="W68" s="1358"/>
      <c r="X68" s="1358"/>
      <c r="Y68" s="1359"/>
      <c r="Z68" s="2273"/>
      <c r="AA68" s="1000"/>
      <c r="AB68" s="1358"/>
      <c r="AC68" s="1359"/>
      <c r="AD68" s="2273"/>
      <c r="AE68" s="1000"/>
      <c r="AF68" s="1000"/>
      <c r="AG68" s="1359"/>
      <c r="AH68" s="2273"/>
      <c r="AI68" s="1358"/>
      <c r="AJ68" s="964"/>
      <c r="AK68" s="1359"/>
      <c r="AL68" s="1358"/>
      <c r="AM68" s="1008"/>
      <c r="AN68" s="1000"/>
      <c r="AO68" s="1359"/>
      <c r="AP68" s="1360"/>
      <c r="AQ68" s="1360"/>
      <c r="AR68" s="1360"/>
      <c r="AS68" s="1360"/>
      <c r="AT68" s="1016"/>
      <c r="AU68" s="1359"/>
      <c r="AV68" s="1359"/>
      <c r="AW68" s="1359"/>
      <c r="AX68" s="1055"/>
      <c r="AY68" s="1006" t="s">
        <v>448</v>
      </c>
      <c r="AZ68" s="1006"/>
      <c r="BA68" s="1006" t="s">
        <v>441</v>
      </c>
      <c r="BB68" s="1007"/>
      <c r="BC68" s="1008"/>
      <c r="BD68" s="1009"/>
      <c r="BE68" s="1009"/>
      <c r="BF68" s="1009"/>
      <c r="BG68" s="1009"/>
      <c r="BH68" s="1009"/>
      <c r="BI68" s="1009"/>
      <c r="BJ68" s="1009"/>
      <c r="BK68" s="1009"/>
      <c r="BL68" s="1361"/>
      <c r="BM68" s="1016"/>
      <c r="BN68" s="1009"/>
      <c r="BO68" s="1009"/>
      <c r="BP68" s="1009"/>
      <c r="BQ68" s="972"/>
      <c r="BR68" s="963"/>
    </row>
    <row r="69" spans="1:72" ht="12.75" customHeight="1" x14ac:dyDescent="0.2">
      <c r="A69" s="968" t="s">
        <v>2</v>
      </c>
      <c r="B69" s="969"/>
      <c r="C69" s="2463" t="s">
        <v>39</v>
      </c>
      <c r="D69" s="2464"/>
      <c r="E69" s="1220"/>
      <c r="F69" s="925" t="s">
        <v>452</v>
      </c>
      <c r="G69" s="925" t="s">
        <v>453</v>
      </c>
      <c r="H69" s="925" t="s">
        <v>454</v>
      </c>
      <c r="I69" s="2281" t="s">
        <v>455</v>
      </c>
      <c r="J69" s="1010" t="s">
        <v>399</v>
      </c>
      <c r="K69" s="1010" t="s">
        <v>398</v>
      </c>
      <c r="L69" s="1010" t="s">
        <v>397</v>
      </c>
      <c r="M69" s="1011" t="s">
        <v>395</v>
      </c>
      <c r="N69" s="1010" t="s">
        <v>373</v>
      </c>
      <c r="O69" s="1010" t="s">
        <v>374</v>
      </c>
      <c r="P69" s="1010" t="s">
        <v>375</v>
      </c>
      <c r="Q69" s="1011" t="s">
        <v>376</v>
      </c>
      <c r="R69" s="1010" t="s">
        <v>330</v>
      </c>
      <c r="S69" s="1010" t="s">
        <v>329</v>
      </c>
      <c r="T69" s="1010" t="s">
        <v>328</v>
      </c>
      <c r="U69" s="1011" t="s">
        <v>326</v>
      </c>
      <c r="V69" s="1010" t="s">
        <v>282</v>
      </c>
      <c r="W69" s="1010" t="s">
        <v>283</v>
      </c>
      <c r="X69" s="1010" t="s">
        <v>284</v>
      </c>
      <c r="Y69" s="1011" t="s">
        <v>285</v>
      </c>
      <c r="Z69" s="1012" t="s">
        <v>220</v>
      </c>
      <c r="AA69" s="1010" t="s">
        <v>221</v>
      </c>
      <c r="AB69" s="1010" t="s">
        <v>222</v>
      </c>
      <c r="AC69" s="1011" t="s">
        <v>219</v>
      </c>
      <c r="AD69" s="1012" t="s">
        <v>185</v>
      </c>
      <c r="AE69" s="1010" t="s">
        <v>186</v>
      </c>
      <c r="AF69" s="1010" t="s">
        <v>187</v>
      </c>
      <c r="AG69" s="1011" t="s">
        <v>188</v>
      </c>
      <c r="AH69" s="1012" t="s">
        <v>118</v>
      </c>
      <c r="AI69" s="1010" t="s">
        <v>117</v>
      </c>
      <c r="AJ69" s="1010" t="s">
        <v>116</v>
      </c>
      <c r="AK69" s="1011" t="s">
        <v>115</v>
      </c>
      <c r="AL69" s="1010" t="s">
        <v>83</v>
      </c>
      <c r="AM69" s="1010" t="s">
        <v>84</v>
      </c>
      <c r="AN69" s="1010" t="s">
        <v>85</v>
      </c>
      <c r="AO69" s="1011" t="s">
        <v>30</v>
      </c>
      <c r="AP69" s="1010" t="s">
        <v>31</v>
      </c>
      <c r="AQ69" s="1010" t="s">
        <v>32</v>
      </c>
      <c r="AR69" s="1010" t="s">
        <v>33</v>
      </c>
      <c r="AS69" s="1010" t="s">
        <v>34</v>
      </c>
      <c r="AT69" s="1013" t="s">
        <v>35</v>
      </c>
      <c r="AU69" s="1011" t="s">
        <v>36</v>
      </c>
      <c r="AV69" s="1011" t="s">
        <v>37</v>
      </c>
      <c r="AW69" s="1011" t="s">
        <v>38</v>
      </c>
      <c r="AX69" s="1014"/>
      <c r="AY69" s="1010" t="s">
        <v>399</v>
      </c>
      <c r="AZ69" s="1010" t="s">
        <v>373</v>
      </c>
      <c r="BA69" s="2453" t="s">
        <v>39</v>
      </c>
      <c r="BB69" s="2454"/>
      <c r="BC69" s="1362"/>
      <c r="BD69" s="1012" t="s">
        <v>438</v>
      </c>
      <c r="BE69" s="1012" t="s">
        <v>385</v>
      </c>
      <c r="BF69" s="1012" t="s">
        <v>332</v>
      </c>
      <c r="BG69" s="1012" t="s">
        <v>287</v>
      </c>
      <c r="BH69" s="1012" t="s">
        <v>224</v>
      </c>
      <c r="BI69" s="1012" t="s">
        <v>120</v>
      </c>
      <c r="BJ69" s="1012" t="s">
        <v>119</v>
      </c>
      <c r="BK69" s="1012" t="s">
        <v>43</v>
      </c>
      <c r="BL69" s="1012" t="s">
        <v>40</v>
      </c>
      <c r="BM69" s="1013" t="s">
        <v>41</v>
      </c>
      <c r="BN69" s="1013" t="s">
        <v>138</v>
      </c>
      <c r="BO69" s="1013" t="s">
        <v>139</v>
      </c>
      <c r="BP69" s="1267" t="s">
        <v>140</v>
      </c>
      <c r="BQ69" s="1266"/>
    </row>
    <row r="70" spans="1:72" ht="12.75" customHeight="1" x14ac:dyDescent="0.2">
      <c r="A70" s="1250"/>
      <c r="B70" s="1251" t="s">
        <v>4</v>
      </c>
      <c r="C70" s="1252">
        <v>-9467</v>
      </c>
      <c r="D70" s="1253">
        <v>-4.4144665056375723E-2</v>
      </c>
      <c r="E70" s="938"/>
      <c r="F70" s="1206">
        <v>0</v>
      </c>
      <c r="G70" s="1206">
        <v>0</v>
      </c>
      <c r="H70" s="1206">
        <v>0</v>
      </c>
      <c r="I70" s="2291">
        <v>204987</v>
      </c>
      <c r="J70" s="1310">
        <v>200912</v>
      </c>
      <c r="K70" s="1310">
        <v>181837</v>
      </c>
      <c r="L70" s="1310">
        <v>190602</v>
      </c>
      <c r="M70" s="1326">
        <v>214454</v>
      </c>
      <c r="N70" s="1310">
        <v>232465</v>
      </c>
      <c r="O70" s="1310">
        <v>166471</v>
      </c>
      <c r="P70" s="1310">
        <v>236271</v>
      </c>
      <c r="Q70" s="1326">
        <v>245556</v>
      </c>
      <c r="R70" s="1310">
        <v>253748</v>
      </c>
      <c r="S70" s="1310">
        <v>230959</v>
      </c>
      <c r="T70" s="1310">
        <v>183306</v>
      </c>
      <c r="U70" s="1326">
        <v>187231</v>
      </c>
      <c r="V70" s="1310">
        <v>217971</v>
      </c>
      <c r="W70" s="1310">
        <v>230003</v>
      </c>
      <c r="X70" s="1310">
        <v>186599</v>
      </c>
      <c r="Y70" s="1293">
        <v>162549</v>
      </c>
      <c r="Z70" s="1310">
        <v>177692</v>
      </c>
      <c r="AA70" s="1310">
        <v>147889</v>
      </c>
      <c r="AB70" s="1322">
        <v>119500</v>
      </c>
      <c r="AC70" s="1326">
        <v>159783</v>
      </c>
      <c r="AD70" s="1310">
        <v>247595</v>
      </c>
      <c r="AE70" s="1310">
        <v>254834</v>
      </c>
      <c r="AF70" s="1310">
        <v>149285</v>
      </c>
      <c r="AG70" s="1326">
        <v>151917</v>
      </c>
      <c r="AH70" s="1363">
        <v>143133</v>
      </c>
      <c r="AI70" s="1364">
        <v>173197</v>
      </c>
      <c r="AJ70" s="1310">
        <v>123744</v>
      </c>
      <c r="AK70" s="1326">
        <v>137463</v>
      </c>
      <c r="AL70" s="1365">
        <v>106996</v>
      </c>
      <c r="AM70" s="1310">
        <v>87188</v>
      </c>
      <c r="AN70" s="1310">
        <v>110829</v>
      </c>
      <c r="AO70" s="1326">
        <v>172708</v>
      </c>
      <c r="AP70" s="1025">
        <v>143446</v>
      </c>
      <c r="AQ70" s="1025">
        <v>183354</v>
      </c>
      <c r="AR70" s="1025">
        <v>158869</v>
      </c>
      <c r="AS70" s="1366">
        <v>245870</v>
      </c>
      <c r="AT70" s="1054">
        <v>216443</v>
      </c>
      <c r="AU70" s="1053">
        <v>178313</v>
      </c>
      <c r="AV70" s="1053">
        <v>156031</v>
      </c>
      <c r="AW70" s="1366">
        <v>206127</v>
      </c>
      <c r="AX70" s="1055"/>
      <c r="AY70" s="1322">
        <v>787805</v>
      </c>
      <c r="AZ70" s="1322">
        <v>880763</v>
      </c>
      <c r="BA70" s="1367">
        <v>-92958</v>
      </c>
      <c r="BB70" s="1368">
        <v>-0.10554258069423897</v>
      </c>
      <c r="BC70" s="1244"/>
      <c r="BD70" s="1018">
        <v>787805</v>
      </c>
      <c r="BE70" s="1282">
        <v>880763</v>
      </c>
      <c r="BF70" s="1282">
        <v>855244</v>
      </c>
      <c r="BG70" s="1313">
        <v>797122</v>
      </c>
      <c r="BH70" s="1313">
        <v>604864</v>
      </c>
      <c r="BI70" s="1327">
        <v>803631</v>
      </c>
      <c r="BJ70" s="1327">
        <v>577537</v>
      </c>
      <c r="BK70" s="1297">
        <v>477721</v>
      </c>
      <c r="BL70" s="1309">
        <v>731539</v>
      </c>
      <c r="BM70" s="1054">
        <v>756914</v>
      </c>
      <c r="BN70" s="1369">
        <v>583415</v>
      </c>
      <c r="BO70" s="1369">
        <v>432778</v>
      </c>
      <c r="BP70" s="1369">
        <v>402157</v>
      </c>
      <c r="BQ70" s="1266"/>
    </row>
    <row r="71" spans="1:72" ht="12.75" customHeight="1" x14ac:dyDescent="0.2">
      <c r="A71" s="1235"/>
      <c r="B71" s="1251" t="s">
        <v>82</v>
      </c>
      <c r="C71" s="1252">
        <v>-5184</v>
      </c>
      <c r="D71" s="1056">
        <v>-2.6033244614071211E-2</v>
      </c>
      <c r="E71" s="949"/>
      <c r="F71" s="1206">
        <v>0</v>
      </c>
      <c r="G71" s="1206">
        <v>0</v>
      </c>
      <c r="H71" s="1206">
        <v>0</v>
      </c>
      <c r="I71" s="2291">
        <v>193946</v>
      </c>
      <c r="J71" s="1310">
        <v>204257</v>
      </c>
      <c r="K71" s="1310">
        <v>204249</v>
      </c>
      <c r="L71" s="1310">
        <v>186226</v>
      </c>
      <c r="M71" s="1326">
        <v>199130</v>
      </c>
      <c r="N71" s="1310">
        <v>220047</v>
      </c>
      <c r="O71" s="1310">
        <v>184112</v>
      </c>
      <c r="P71" s="1310">
        <v>207395</v>
      </c>
      <c r="Q71" s="1326">
        <v>215904</v>
      </c>
      <c r="R71" s="1310">
        <v>217779</v>
      </c>
      <c r="S71" s="1310">
        <v>202914</v>
      </c>
      <c r="T71" s="1310">
        <v>175367</v>
      </c>
      <c r="U71" s="1326">
        <v>174527</v>
      </c>
      <c r="V71" s="1310">
        <v>200481</v>
      </c>
      <c r="W71" s="1310">
        <v>205025</v>
      </c>
      <c r="X71" s="1310">
        <v>179710</v>
      </c>
      <c r="Y71" s="1293">
        <v>181677</v>
      </c>
      <c r="Z71" s="1310">
        <v>166505</v>
      </c>
      <c r="AA71" s="1310">
        <v>132063</v>
      </c>
      <c r="AB71" s="1322">
        <v>122510</v>
      </c>
      <c r="AC71" s="1326">
        <v>143104</v>
      </c>
      <c r="AD71" s="1310">
        <v>188349</v>
      </c>
      <c r="AE71" s="1310">
        <v>190238</v>
      </c>
      <c r="AF71" s="1310">
        <v>132849</v>
      </c>
      <c r="AG71" s="1326">
        <v>131857</v>
      </c>
      <c r="AH71" s="1370">
        <v>132658</v>
      </c>
      <c r="AI71" s="1326">
        <v>150887</v>
      </c>
      <c r="AJ71" s="1310">
        <v>115883</v>
      </c>
      <c r="AK71" s="1326">
        <v>121468</v>
      </c>
      <c r="AL71" s="1310">
        <v>100169</v>
      </c>
      <c r="AM71" s="1310">
        <v>108534</v>
      </c>
      <c r="AN71" s="1310">
        <v>115805</v>
      </c>
      <c r="AO71" s="1326">
        <v>149179</v>
      </c>
      <c r="AP71" s="1025">
        <v>131632</v>
      </c>
      <c r="AQ71" s="1025">
        <v>154817</v>
      </c>
      <c r="AR71" s="1025">
        <v>135342</v>
      </c>
      <c r="AS71" s="1053">
        <v>187220</v>
      </c>
      <c r="AT71" s="1054">
        <v>176307</v>
      </c>
      <c r="AU71" s="1053">
        <v>144677</v>
      </c>
      <c r="AV71" s="1053">
        <v>130781</v>
      </c>
      <c r="AW71" s="1053">
        <v>166952</v>
      </c>
      <c r="AX71" s="1055"/>
      <c r="AY71" s="1322">
        <v>793862</v>
      </c>
      <c r="AZ71" s="1322">
        <v>827458</v>
      </c>
      <c r="BA71" s="1026">
        <v>-33596</v>
      </c>
      <c r="BB71" s="1371">
        <v>-4.0601456508970846E-2</v>
      </c>
      <c r="BC71" s="1244"/>
      <c r="BD71" s="1018">
        <v>793862</v>
      </c>
      <c r="BE71" s="1313">
        <v>827458</v>
      </c>
      <c r="BF71" s="1313">
        <v>770587</v>
      </c>
      <c r="BG71" s="1313">
        <v>766893</v>
      </c>
      <c r="BH71" s="1313">
        <v>564182</v>
      </c>
      <c r="BI71" s="1327">
        <v>643293</v>
      </c>
      <c r="BJ71" s="1327">
        <v>520896</v>
      </c>
      <c r="BK71" s="1297">
        <v>473687</v>
      </c>
      <c r="BL71" s="1309">
        <v>609011</v>
      </c>
      <c r="BM71" s="1054">
        <v>618717</v>
      </c>
      <c r="BN71" s="1054">
        <f>BN36</f>
        <v>466018</v>
      </c>
      <c r="BO71" s="1054">
        <f>BO36</f>
        <v>360022</v>
      </c>
      <c r="BP71" s="1054">
        <v>339600</v>
      </c>
      <c r="BQ71" s="1266"/>
    </row>
    <row r="72" spans="1:72" ht="12.75" customHeight="1" x14ac:dyDescent="0.2">
      <c r="A72" s="1235"/>
      <c r="B72" s="1251" t="s">
        <v>210</v>
      </c>
      <c r="C72" s="1252">
        <v>-4283</v>
      </c>
      <c r="D72" s="1056">
        <v>-0.27949621508744454</v>
      </c>
      <c r="E72" s="949"/>
      <c r="F72" s="1209">
        <v>0</v>
      </c>
      <c r="G72" s="1209">
        <v>0</v>
      </c>
      <c r="H72" s="1206">
        <v>0</v>
      </c>
      <c r="I72" s="2291">
        <v>11041</v>
      </c>
      <c r="J72" s="1322">
        <v>-3345</v>
      </c>
      <c r="K72" s="1322">
        <v>-22412</v>
      </c>
      <c r="L72" s="1310">
        <v>4376</v>
      </c>
      <c r="M72" s="1326">
        <v>15324</v>
      </c>
      <c r="N72" s="1310">
        <v>12418</v>
      </c>
      <c r="O72" s="1322">
        <v>-17641</v>
      </c>
      <c r="P72" s="1310">
        <v>28876</v>
      </c>
      <c r="Q72" s="1326">
        <v>29652</v>
      </c>
      <c r="R72" s="1310">
        <v>35969</v>
      </c>
      <c r="S72" s="1310">
        <v>28045</v>
      </c>
      <c r="T72" s="1310">
        <v>7939</v>
      </c>
      <c r="U72" s="1326">
        <v>12704</v>
      </c>
      <c r="V72" s="1310">
        <v>17490</v>
      </c>
      <c r="W72" s="1310">
        <v>24978</v>
      </c>
      <c r="X72" s="1310">
        <v>6889</v>
      </c>
      <c r="Y72" s="1293">
        <v>-19128</v>
      </c>
      <c r="Z72" s="1310">
        <v>11187</v>
      </c>
      <c r="AA72" s="1310">
        <v>15826</v>
      </c>
      <c r="AB72" s="1322">
        <v>-3010</v>
      </c>
      <c r="AC72" s="1326">
        <v>16679</v>
      </c>
      <c r="AD72" s="1310">
        <v>59246</v>
      </c>
      <c r="AE72" s="1310">
        <v>64596</v>
      </c>
      <c r="AF72" s="1310">
        <v>16436</v>
      </c>
      <c r="AG72" s="1326">
        <v>20060</v>
      </c>
      <c r="AH72" s="1370">
        <v>10475</v>
      </c>
      <c r="AI72" s="1326">
        <v>22310</v>
      </c>
      <c r="AJ72" s="1310">
        <v>7861</v>
      </c>
      <c r="AK72" s="1326">
        <v>15995</v>
      </c>
      <c r="AL72" s="1310">
        <v>6827</v>
      </c>
      <c r="AM72" s="1310">
        <v>-21346</v>
      </c>
      <c r="AN72" s="1310">
        <v>-4976</v>
      </c>
      <c r="AO72" s="1326">
        <v>23529</v>
      </c>
      <c r="AP72" s="1025">
        <v>11814</v>
      </c>
      <c r="AQ72" s="1025">
        <v>28537</v>
      </c>
      <c r="AR72" s="1025">
        <v>23527</v>
      </c>
      <c r="AS72" s="1053">
        <v>58650</v>
      </c>
      <c r="AT72" s="1054">
        <v>40136</v>
      </c>
      <c r="AU72" s="1053">
        <v>33636</v>
      </c>
      <c r="AV72" s="1053">
        <v>25250</v>
      </c>
      <c r="AW72" s="1053">
        <v>39175</v>
      </c>
      <c r="AX72" s="1055"/>
      <c r="AY72" s="1322">
        <v>-6057</v>
      </c>
      <c r="AZ72" s="1322">
        <v>53305</v>
      </c>
      <c r="BA72" s="1322">
        <v>-59362</v>
      </c>
      <c r="BB72" s="1372">
        <v>-1.1136291154675921</v>
      </c>
      <c r="BC72" s="1244"/>
      <c r="BD72" s="1018">
        <v>-6057</v>
      </c>
      <c r="BE72" s="1313">
        <v>53305</v>
      </c>
      <c r="BF72" s="1313">
        <v>84657</v>
      </c>
      <c r="BG72" s="1313">
        <v>30229</v>
      </c>
      <c r="BH72" s="1313">
        <v>40682</v>
      </c>
      <c r="BI72" s="1327">
        <v>160338</v>
      </c>
      <c r="BJ72" s="1327">
        <v>56641</v>
      </c>
      <c r="BK72" s="1297">
        <v>4034</v>
      </c>
      <c r="BL72" s="1309">
        <v>122528</v>
      </c>
      <c r="BM72" s="1054">
        <v>138197</v>
      </c>
      <c r="BN72" s="1054">
        <f>BN38</f>
        <v>117397</v>
      </c>
      <c r="BO72" s="1054">
        <f>BO38</f>
        <v>72756</v>
      </c>
      <c r="BP72" s="1054">
        <v>62557</v>
      </c>
      <c r="BQ72" s="1266"/>
      <c r="BS72" s="1221"/>
      <c r="BT72" s="1221"/>
    </row>
    <row r="73" spans="1:72" ht="12.75" customHeight="1" x14ac:dyDescent="0.2">
      <c r="A73" s="1235"/>
      <c r="B73" s="1251" t="s">
        <v>7</v>
      </c>
      <c r="C73" s="1252">
        <v>-5180</v>
      </c>
      <c r="D73" s="1056">
        <v>-0.38891808694346425</v>
      </c>
      <c r="E73" s="949"/>
      <c r="F73" s="1209">
        <v>0</v>
      </c>
      <c r="G73" s="1209">
        <v>0</v>
      </c>
      <c r="H73" s="1206">
        <v>0</v>
      </c>
      <c r="I73" s="2291">
        <v>8139</v>
      </c>
      <c r="J73" s="1322">
        <v>-2113</v>
      </c>
      <c r="K73" s="1322">
        <v>-19144</v>
      </c>
      <c r="L73" s="1310">
        <v>1943</v>
      </c>
      <c r="M73" s="1326">
        <v>13319</v>
      </c>
      <c r="N73" s="1322">
        <v>8820</v>
      </c>
      <c r="O73" s="1322">
        <v>-14253</v>
      </c>
      <c r="P73" s="1310">
        <v>20746</v>
      </c>
      <c r="Q73" s="1326">
        <v>24017</v>
      </c>
      <c r="R73" s="1310">
        <v>29075</v>
      </c>
      <c r="S73" s="1310">
        <v>21227</v>
      </c>
      <c r="T73" s="1310">
        <v>6734</v>
      </c>
      <c r="U73" s="1326">
        <v>11810</v>
      </c>
      <c r="V73" s="1310">
        <v>15579</v>
      </c>
      <c r="W73" s="1310">
        <v>20453</v>
      </c>
      <c r="X73" s="1310">
        <v>5907</v>
      </c>
      <c r="Y73" s="1293">
        <v>-16295</v>
      </c>
      <c r="Z73" s="1370">
        <v>2089</v>
      </c>
      <c r="AA73" s="1310">
        <v>10644</v>
      </c>
      <c r="AB73" s="1322">
        <v>-1665</v>
      </c>
      <c r="AC73" s="1326">
        <v>14125</v>
      </c>
      <c r="AD73" s="1370">
        <v>42253</v>
      </c>
      <c r="AE73" s="1310">
        <v>45604</v>
      </c>
      <c r="AF73" s="1310">
        <v>12078</v>
      </c>
      <c r="AG73" s="1326">
        <v>14191.4503</v>
      </c>
      <c r="AH73" s="1370">
        <v>11072</v>
      </c>
      <c r="AI73" s="1326">
        <v>15113</v>
      </c>
      <c r="AJ73" s="1310">
        <v>6746</v>
      </c>
      <c r="AK73" s="1373">
        <v>9112</v>
      </c>
      <c r="AL73" s="1374">
        <v>3764</v>
      </c>
      <c r="AM73" s="1374">
        <v>-16242</v>
      </c>
      <c r="AN73" s="1374">
        <v>-5398</v>
      </c>
      <c r="AO73" s="1373">
        <v>16459</v>
      </c>
      <c r="AP73" s="1375">
        <v>7174.52</v>
      </c>
      <c r="AQ73" s="1375">
        <v>17832.934000000001</v>
      </c>
      <c r="AR73" s="1375">
        <v>15309.940999999999</v>
      </c>
      <c r="AS73" s="1376">
        <v>39029</v>
      </c>
      <c r="AT73" s="1329">
        <v>26016</v>
      </c>
      <c r="AU73" s="1376">
        <v>23692</v>
      </c>
      <c r="AV73" s="1376">
        <v>17806</v>
      </c>
      <c r="AW73" s="1376">
        <v>25942</v>
      </c>
      <c r="AX73" s="1055"/>
      <c r="AY73" s="1322">
        <v>-5995</v>
      </c>
      <c r="AZ73" s="1322">
        <v>39330</v>
      </c>
      <c r="BA73" s="1322">
        <v>-45325</v>
      </c>
      <c r="BB73" s="1372">
        <v>-1.1524281718789728</v>
      </c>
      <c r="BC73" s="1244"/>
      <c r="BD73" s="1018">
        <v>-5995</v>
      </c>
      <c r="BE73" s="1313">
        <v>39330</v>
      </c>
      <c r="BF73" s="1313">
        <v>68846</v>
      </c>
      <c r="BG73" s="1313">
        <v>25644</v>
      </c>
      <c r="BH73" s="1313">
        <v>25193</v>
      </c>
      <c r="BI73" s="1327">
        <v>114126.4503</v>
      </c>
      <c r="BJ73" s="1327">
        <v>42043</v>
      </c>
      <c r="BK73" s="1297">
        <v>-1417</v>
      </c>
      <c r="BL73" s="1309">
        <v>79346.395000000004</v>
      </c>
      <c r="BM73" s="1054">
        <v>93256</v>
      </c>
      <c r="BN73" s="1329">
        <f>BN42</f>
        <v>79517</v>
      </c>
      <c r="BO73" s="1329">
        <f>BO42</f>
        <v>48579</v>
      </c>
      <c r="BP73" s="1329">
        <v>40429</v>
      </c>
      <c r="BS73" s="1221"/>
    </row>
    <row r="74" spans="1:72" ht="12.75" customHeight="1" x14ac:dyDescent="0.2">
      <c r="A74" s="969"/>
      <c r="B74" s="969" t="s">
        <v>362</v>
      </c>
      <c r="C74" s="974">
        <v>-5229.92</v>
      </c>
      <c r="D74" s="1056">
        <v>-0.4174251735972544</v>
      </c>
      <c r="E74" s="927"/>
      <c r="F74" s="916">
        <v>0</v>
      </c>
      <c r="G74" s="916">
        <v>0</v>
      </c>
      <c r="H74" s="916">
        <v>0</v>
      </c>
      <c r="I74" s="2297">
        <v>7299.08</v>
      </c>
      <c r="J74" s="992">
        <v>-2106.92</v>
      </c>
      <c r="K74" s="992">
        <v>-19229.559999999998</v>
      </c>
      <c r="L74" s="992">
        <v>2187</v>
      </c>
      <c r="M74" s="1017">
        <v>12529</v>
      </c>
      <c r="N74" s="992">
        <v>7899.85</v>
      </c>
      <c r="O74" s="992">
        <v>-14400.4</v>
      </c>
      <c r="P74" s="992">
        <v>19986.2</v>
      </c>
      <c r="Q74" s="1017">
        <v>22962.3</v>
      </c>
      <c r="R74" s="992">
        <v>28636.65</v>
      </c>
      <c r="S74" s="992">
        <v>19967.95</v>
      </c>
      <c r="T74" s="992">
        <v>6192.3</v>
      </c>
      <c r="U74" s="1017">
        <v>12413.9</v>
      </c>
      <c r="V74" s="992">
        <v>15657.05</v>
      </c>
      <c r="W74" s="992">
        <v>20745.599999999999</v>
      </c>
      <c r="X74" s="992">
        <v>5864</v>
      </c>
      <c r="Y74" s="1152">
        <v>-16059.3</v>
      </c>
      <c r="Z74" s="992">
        <v>2306.1</v>
      </c>
      <c r="AA74" s="992">
        <v>10825.125</v>
      </c>
      <c r="AB74" s="1151">
        <v>-1665</v>
      </c>
      <c r="AC74" s="1017">
        <v>14125</v>
      </c>
      <c r="AD74" s="992">
        <v>42253</v>
      </c>
      <c r="AE74" s="992">
        <v>45604</v>
      </c>
      <c r="AF74" s="992">
        <v>12078</v>
      </c>
      <c r="AG74" s="1017">
        <v>14191.4503</v>
      </c>
      <c r="AH74" s="992">
        <v>11072</v>
      </c>
      <c r="AI74" s="992">
        <v>15113</v>
      </c>
      <c r="AJ74" s="992"/>
      <c r="AK74" s="1017"/>
      <c r="AL74" s="992"/>
      <c r="AM74" s="992"/>
      <c r="AN74" s="992"/>
      <c r="AO74" s="1017"/>
      <c r="AP74" s="992"/>
      <c r="AQ74" s="992"/>
      <c r="AR74" s="992"/>
      <c r="AS74" s="992"/>
      <c r="AT74" s="1018"/>
      <c r="AU74" s="1017"/>
      <c r="AV74" s="1017"/>
      <c r="AW74" s="1017"/>
      <c r="AX74" s="1019"/>
      <c r="AY74" s="1322">
        <v>-6620.4799999999959</v>
      </c>
      <c r="AZ74" s="1151">
        <v>36447.949999999997</v>
      </c>
      <c r="BA74" s="992">
        <v>-43068.429999999993</v>
      </c>
      <c r="BB74" s="1372">
        <v>-1.1816420402244845</v>
      </c>
      <c r="BC74" s="1070"/>
      <c r="BD74" s="1018">
        <v>-6620.4799999999959</v>
      </c>
      <c r="BE74" s="1018">
        <v>36447.949999999997</v>
      </c>
      <c r="BF74" s="1018">
        <v>67210.8</v>
      </c>
      <c r="BG74" s="1018">
        <v>26207.349999999995</v>
      </c>
      <c r="BH74" s="1018">
        <v>25591.224999999999</v>
      </c>
      <c r="BI74" s="1018">
        <v>114126.4503</v>
      </c>
      <c r="BJ74" s="1018">
        <f>BJ75</f>
        <v>42043</v>
      </c>
      <c r="BK74" s="1377">
        <f>BK75</f>
        <v>-1417</v>
      </c>
      <c r="BL74" s="1018">
        <f>BL75</f>
        <v>79346.395000000004</v>
      </c>
      <c r="BM74" s="1018">
        <f>BM75</f>
        <v>93256</v>
      </c>
      <c r="BN74" s="1018"/>
      <c r="BO74" s="1018"/>
      <c r="BP74" s="1018"/>
      <c r="BS74" s="1221"/>
    </row>
    <row r="75" spans="1:72" ht="12.75" customHeight="1" x14ac:dyDescent="0.2">
      <c r="A75" s="1235"/>
      <c r="B75" s="1251" t="s">
        <v>372</v>
      </c>
      <c r="C75" s="1254">
        <v>-5230.92</v>
      </c>
      <c r="D75" s="1234">
        <v>-0.54883223166509287</v>
      </c>
      <c r="E75" s="949"/>
      <c r="F75" s="1224">
        <v>0</v>
      </c>
      <c r="G75" s="1224">
        <v>0</v>
      </c>
      <c r="H75" s="1224">
        <v>0</v>
      </c>
      <c r="I75" s="2296">
        <v>4300.08</v>
      </c>
      <c r="J75" s="1378">
        <v>-5104.92</v>
      </c>
      <c r="K75" s="1378">
        <v>-22227.559999999998</v>
      </c>
      <c r="L75" s="1378">
        <v>-811</v>
      </c>
      <c r="M75" s="1373">
        <v>9531</v>
      </c>
      <c r="N75" s="1378">
        <v>4901.8500000000004</v>
      </c>
      <c r="O75" s="1378">
        <v>-17360.400000000001</v>
      </c>
      <c r="P75" s="1374">
        <v>17065.2</v>
      </c>
      <c r="Q75" s="1373">
        <v>19964.3</v>
      </c>
      <c r="R75" s="1374">
        <v>25676.65</v>
      </c>
      <c r="S75" s="1374">
        <v>17046.95</v>
      </c>
      <c r="T75" s="1374">
        <v>3271.3</v>
      </c>
      <c r="U75" s="1373">
        <v>9453.9</v>
      </c>
      <c r="V75" s="1374">
        <v>12770.05</v>
      </c>
      <c r="W75" s="1374">
        <v>17747.599999999999</v>
      </c>
      <c r="X75" s="1374">
        <v>2866</v>
      </c>
      <c r="Y75" s="1301">
        <v>-18896.3</v>
      </c>
      <c r="Z75" s="1379">
        <v>1199.0999999999999</v>
      </c>
      <c r="AA75" s="1374">
        <v>9007.125</v>
      </c>
      <c r="AB75" s="1378">
        <v>-3465</v>
      </c>
      <c r="AC75" s="1373">
        <v>14035</v>
      </c>
      <c r="AD75" s="1379">
        <v>42253</v>
      </c>
      <c r="AE75" s="1374">
        <v>45604</v>
      </c>
      <c r="AF75" s="1374">
        <v>12078</v>
      </c>
      <c r="AG75" s="1373">
        <v>14191.4503</v>
      </c>
      <c r="AH75" s="1380">
        <v>11072</v>
      </c>
      <c r="AI75" s="1373">
        <v>15113</v>
      </c>
      <c r="AJ75" s="1373">
        <v>6746</v>
      </c>
      <c r="AK75" s="1310"/>
      <c r="AL75" s="1310"/>
      <c r="AM75" s="1310"/>
      <c r="AN75" s="1310"/>
      <c r="AO75" s="1310"/>
      <c r="AP75" s="1025"/>
      <c r="AQ75" s="1025"/>
      <c r="AR75" s="1025"/>
      <c r="AS75" s="1025"/>
      <c r="AT75" s="1025"/>
      <c r="AU75" s="1025"/>
      <c r="AV75" s="1025"/>
      <c r="AW75" s="1025"/>
      <c r="AX75" s="1055"/>
      <c r="AY75" s="1381">
        <v>-18612.479999999996</v>
      </c>
      <c r="AZ75" s="1378">
        <v>24570.949999999997</v>
      </c>
      <c r="BA75" s="1382">
        <v>-43183.429999999993</v>
      </c>
      <c r="BB75" s="1383">
        <v>-1.7574994047849186</v>
      </c>
      <c r="BC75" s="1244"/>
      <c r="BD75" s="2238">
        <v>-18612.479999999996</v>
      </c>
      <c r="BE75" s="1380">
        <v>24570.949999999997</v>
      </c>
      <c r="BF75" s="1380">
        <v>55448.80000000001</v>
      </c>
      <c r="BG75" s="1380">
        <v>14487.349999999995</v>
      </c>
      <c r="BH75" s="1380">
        <v>20776.224999999999</v>
      </c>
      <c r="BI75" s="1380">
        <v>114126.4503</v>
      </c>
      <c r="BJ75" s="1380">
        <f>BJ73+BJ48</f>
        <v>42043</v>
      </c>
      <c r="BK75" s="1328">
        <f>BK73+BK48</f>
        <v>-1417</v>
      </c>
      <c r="BL75" s="1380">
        <f>BL73+BL48</f>
        <v>79346.395000000004</v>
      </c>
      <c r="BM75" s="1380">
        <f>BM73+BM48</f>
        <v>93256</v>
      </c>
      <c r="BN75" s="1025"/>
      <c r="BO75" s="1025"/>
      <c r="BP75" s="1025"/>
      <c r="BS75" s="1221"/>
    </row>
    <row r="76" spans="1:72" ht="12.75" customHeight="1" x14ac:dyDescent="0.2">
      <c r="A76" s="1235"/>
      <c r="B76" s="1251"/>
      <c r="C76" s="1026"/>
      <c r="D76" s="981"/>
      <c r="E76" s="945"/>
      <c r="F76" s="945"/>
      <c r="G76" s="945"/>
      <c r="H76" s="945"/>
      <c r="I76" s="918"/>
      <c r="J76" s="981"/>
      <c r="K76" s="981"/>
      <c r="L76" s="981"/>
      <c r="M76" s="969"/>
      <c r="N76" s="981"/>
      <c r="O76" s="981"/>
      <c r="P76" s="981"/>
      <c r="Q76" s="969"/>
      <c r="R76" s="981"/>
      <c r="S76" s="981"/>
      <c r="T76" s="981"/>
      <c r="U76" s="969"/>
      <c r="V76" s="981"/>
      <c r="W76" s="981"/>
      <c r="X76" s="981"/>
      <c r="Y76" s="969"/>
      <c r="Z76" s="981"/>
      <c r="AA76" s="981"/>
      <c r="AB76" s="981"/>
      <c r="AC76" s="969"/>
      <c r="AD76" s="981"/>
      <c r="AE76" s="981"/>
      <c r="AF76" s="981"/>
      <c r="AG76" s="969"/>
      <c r="AH76" s="981"/>
      <c r="AI76" s="981"/>
      <c r="AJ76" s="981"/>
      <c r="AK76" s="969"/>
      <c r="AL76" s="981"/>
      <c r="AM76" s="981"/>
      <c r="AN76" s="981"/>
      <c r="AO76" s="969"/>
      <c r="AP76" s="1026"/>
      <c r="AQ76" s="1026"/>
      <c r="AR76" s="1026"/>
      <c r="AS76" s="1026"/>
      <c r="AT76" s="1026"/>
      <c r="AU76" s="1026"/>
      <c r="AV76" s="1026"/>
      <c r="AW76" s="1026"/>
      <c r="AX76" s="969"/>
      <c r="AY76" s="969"/>
      <c r="AZ76" s="969"/>
      <c r="BA76" s="1026"/>
      <c r="BB76" s="981"/>
      <c r="BC76" s="969"/>
      <c r="BD76" s="969"/>
      <c r="BE76" s="969"/>
      <c r="BF76" s="969"/>
      <c r="BG76" s="969"/>
      <c r="BH76" s="969"/>
      <c r="BI76" s="1251"/>
      <c r="BJ76" s="1251"/>
      <c r="BK76" s="1251"/>
      <c r="BL76" s="1026"/>
      <c r="BM76" s="1026"/>
      <c r="BN76" s="1025"/>
      <c r="BO76" s="1025"/>
      <c r="BP76" s="1025"/>
    </row>
    <row r="77" spans="1:72" ht="12.75" customHeight="1" x14ac:dyDescent="0.2">
      <c r="A77" s="1235"/>
      <c r="B77" s="1246" t="s">
        <v>77</v>
      </c>
      <c r="C77" s="1245">
        <v>-1.4068942537826701</v>
      </c>
      <c r="D77" s="981"/>
      <c r="E77" s="945"/>
      <c r="F77" s="945" t="e">
        <v>#DIV/0!</v>
      </c>
      <c r="G77" s="945" t="e">
        <v>#DIV/0!</v>
      </c>
      <c r="H77" s="945" t="e">
        <v>#DIV/0!</v>
      </c>
      <c r="I77" s="945">
        <v>0.31264914152682122</v>
      </c>
      <c r="J77" s="981">
        <v>0.33317074141912878</v>
      </c>
      <c r="K77" s="981">
        <v>0.41227033002084285</v>
      </c>
      <c r="L77" s="981">
        <v>0.37268758984690614</v>
      </c>
      <c r="M77" s="981">
        <v>0.32671808406464792</v>
      </c>
      <c r="N77" s="981">
        <v>0.30522014066633685</v>
      </c>
      <c r="O77" s="981">
        <v>0.45943737948351365</v>
      </c>
      <c r="P77" s="981">
        <v>0.28669620901422521</v>
      </c>
      <c r="Q77" s="981">
        <v>0.28927820945120464</v>
      </c>
      <c r="R77" s="981">
        <v>0.2681163989469868</v>
      </c>
      <c r="S77" s="981">
        <v>0.28873955983529542</v>
      </c>
      <c r="T77" s="981">
        <v>0.36196305631021353</v>
      </c>
      <c r="U77" s="981">
        <v>0.34765610395714386</v>
      </c>
      <c r="V77" s="981">
        <v>0.29526404888723728</v>
      </c>
      <c r="W77" s="981">
        <v>0.30350038912535926</v>
      </c>
      <c r="X77" s="981">
        <v>0.34179711574017008</v>
      </c>
      <c r="Y77" s="981">
        <v>0.45342019944755119</v>
      </c>
      <c r="Z77" s="981">
        <v>0.29955766157170832</v>
      </c>
      <c r="AA77" s="981">
        <v>0.31942199893163115</v>
      </c>
      <c r="AB77" s="981">
        <v>0.38919665271966525</v>
      </c>
      <c r="AC77" s="981">
        <v>0.30274184362541695</v>
      </c>
      <c r="AD77" s="981">
        <v>0.20768997758436156</v>
      </c>
      <c r="AE77" s="981">
        <v>0.19172873321456321</v>
      </c>
      <c r="AF77" s="981">
        <v>0.3080617610610577</v>
      </c>
      <c r="AG77" s="981">
        <v>0.28670918988658278</v>
      </c>
      <c r="AH77" s="981">
        <v>0.30174732591366071</v>
      </c>
      <c r="AI77" s="981">
        <v>0.24290259069152467</v>
      </c>
      <c r="AJ77" s="981">
        <v>0.30655223687613137</v>
      </c>
      <c r="AK77" s="981">
        <v>0.28518946916624838</v>
      </c>
      <c r="AL77" s="981">
        <v>0.38178997345695165</v>
      </c>
      <c r="AM77" s="981">
        <v>0.60120658806257743</v>
      </c>
      <c r="AN77" s="1110">
        <v>0.45685695982098551</v>
      </c>
      <c r="AO77" s="981">
        <v>0.29534821780114412</v>
      </c>
      <c r="AP77" s="981">
        <v>0.37250951577597147</v>
      </c>
      <c r="AQ77" s="981">
        <v>0.28022841061553061</v>
      </c>
      <c r="AR77" s="981">
        <v>0.32276277939686154</v>
      </c>
      <c r="AS77" s="981">
        <v>0.20899999999999996</v>
      </c>
      <c r="AT77" s="981">
        <v>0.23099999999999998</v>
      </c>
      <c r="AU77" s="981">
        <v>0.24400000000000011</v>
      </c>
      <c r="AV77" s="981">
        <v>0.28899999999999992</v>
      </c>
      <c r="AW77" s="981">
        <v>0.24</v>
      </c>
      <c r="AX77" s="969"/>
      <c r="AY77" s="981">
        <v>0.3592322973324617</v>
      </c>
      <c r="AZ77" s="981">
        <v>0.32495461321604108</v>
      </c>
      <c r="BA77" s="1245">
        <v>3.4277684116420626</v>
      </c>
      <c r="BB77" s="981"/>
      <c r="BC77" s="969"/>
      <c r="BD77" s="981">
        <v>0.3592322973324617</v>
      </c>
      <c r="BE77" s="981">
        <v>0.32495461321604108</v>
      </c>
      <c r="BF77" s="981">
        <v>0.31121294040063419</v>
      </c>
      <c r="BG77" s="981">
        <v>0.34078472304114049</v>
      </c>
      <c r="BH77" s="981">
        <v>0.3229651624166755</v>
      </c>
      <c r="BI77" s="981">
        <v>0.23621164439898412</v>
      </c>
      <c r="BJ77" s="981">
        <f>(BJ71-BJ24-BJ25)/BJ20</f>
        <v>0.28118891084034442</v>
      </c>
      <c r="BK77" s="981">
        <v>0.40799964833030156</v>
      </c>
      <c r="BL77" s="981">
        <v>0.28383722535640615</v>
      </c>
      <c r="BM77" s="981">
        <v>0.248</v>
      </c>
      <c r="BN77" s="1057">
        <f t="shared" ref="BN77:BO79" si="1">BN56</f>
        <v>0.21100000000000008</v>
      </c>
      <c r="BO77" s="1057">
        <f t="shared" si="1"/>
        <v>0.21699999999999997</v>
      </c>
      <c r="BP77" s="1057">
        <v>0.20799999999999996</v>
      </c>
    </row>
    <row r="78" spans="1:72" ht="12.75" customHeight="1" x14ac:dyDescent="0.2">
      <c r="A78" s="1235"/>
      <c r="B78" s="1246" t="s">
        <v>78</v>
      </c>
      <c r="C78" s="1245">
        <v>1.7593931091611226</v>
      </c>
      <c r="D78" s="981"/>
      <c r="E78" s="945"/>
      <c r="F78" s="945" t="e">
        <v>#DIV/0!</v>
      </c>
      <c r="G78" s="945" t="e">
        <v>#DIV/0!</v>
      </c>
      <c r="H78" s="945" t="e">
        <v>#DIV/0!</v>
      </c>
      <c r="I78" s="945">
        <v>0.94613804777863963</v>
      </c>
      <c r="J78" s="981">
        <v>1.016649080194314</v>
      </c>
      <c r="K78" s="981">
        <v>1.1232532432893196</v>
      </c>
      <c r="L78" s="981">
        <v>0.97704116431097265</v>
      </c>
      <c r="M78" s="981">
        <v>0.92854411668702841</v>
      </c>
      <c r="N78" s="981">
        <v>0.94658120577291205</v>
      </c>
      <c r="O78" s="981">
        <v>1.1059704092604719</v>
      </c>
      <c r="P78" s="981">
        <v>0.87778440858167106</v>
      </c>
      <c r="Q78" s="981">
        <v>0.87924546742901821</v>
      </c>
      <c r="R78" s="981">
        <v>0.85824912905717488</v>
      </c>
      <c r="S78" s="981">
        <v>0.87857152135227468</v>
      </c>
      <c r="T78" s="981">
        <v>0.95668990649515018</v>
      </c>
      <c r="U78" s="981">
        <v>0.932147988313901</v>
      </c>
      <c r="V78" s="981">
        <v>0.91975996806914684</v>
      </c>
      <c r="W78" s="981">
        <v>0.89140141650326299</v>
      </c>
      <c r="X78" s="981">
        <v>0.96308125981382542</v>
      </c>
      <c r="Y78" s="981">
        <v>1.1176752856061865</v>
      </c>
      <c r="Z78" s="981">
        <v>0.93704274812597077</v>
      </c>
      <c r="AA78" s="981">
        <v>0.89298730804860404</v>
      </c>
      <c r="AB78" s="981">
        <v>1.0251882845188285</v>
      </c>
      <c r="AC78" s="981">
        <v>0.89561467740623224</v>
      </c>
      <c r="AD78" s="981">
        <v>0.76071406934711927</v>
      </c>
      <c r="AE78" s="981">
        <v>0.74651734070022058</v>
      </c>
      <c r="AF78" s="981">
        <v>0.88990186555916539</v>
      </c>
      <c r="AG78" s="981">
        <v>0.86795421183935961</v>
      </c>
      <c r="AH78" s="981">
        <v>0.92681631769053952</v>
      </c>
      <c r="AI78" s="981">
        <v>0.87118714527387886</v>
      </c>
      <c r="AJ78" s="981">
        <v>0.93647368761313676</v>
      </c>
      <c r="AK78" s="981">
        <v>0.88264141623564163</v>
      </c>
      <c r="AL78" s="981">
        <v>0.93619387640659468</v>
      </c>
      <c r="AM78" s="981">
        <v>1.2448272698077718</v>
      </c>
      <c r="AN78" s="1110">
        <v>1.0448979960118741</v>
      </c>
      <c r="AO78" s="981">
        <v>0.86376427264515832</v>
      </c>
      <c r="AP78" s="981">
        <v>0.91764148181197103</v>
      </c>
      <c r="AQ78" s="981">
        <v>0.84436118110322111</v>
      </c>
      <c r="AR78" s="981">
        <v>0.85190943481736525</v>
      </c>
      <c r="AS78" s="981">
        <v>0.76100000000000001</v>
      </c>
      <c r="AT78" s="981">
        <v>0.81499999999999995</v>
      </c>
      <c r="AU78" s="981">
        <v>0.81100000000000005</v>
      </c>
      <c r="AV78" s="981">
        <v>0.83799999999999997</v>
      </c>
      <c r="AW78" s="981">
        <v>0.81</v>
      </c>
      <c r="AX78" s="969"/>
      <c r="AY78" s="981">
        <v>1.0076884508222212</v>
      </c>
      <c r="AZ78" s="981">
        <v>0.93947861115873399</v>
      </c>
      <c r="BA78" s="1245">
        <v>6.8209839663487255</v>
      </c>
      <c r="BB78" s="981"/>
      <c r="BC78" s="969"/>
      <c r="BD78" s="981">
        <v>1.0076884508222212</v>
      </c>
      <c r="BE78" s="981">
        <v>0.93947861115873399</v>
      </c>
      <c r="BF78" s="981">
        <v>0.9010142134876129</v>
      </c>
      <c r="BG78" s="981">
        <v>0.96207732317010441</v>
      </c>
      <c r="BH78" s="981">
        <v>0.93274190561845305</v>
      </c>
      <c r="BI78" s="981">
        <v>0.80048305752266902</v>
      </c>
      <c r="BJ78" s="981">
        <f t="shared" ref="BJ78" si="2">BJ71/BJ70</f>
        <v>0.90192662980899929</v>
      </c>
      <c r="BK78" s="981">
        <v>0.9915557406938359</v>
      </c>
      <c r="BL78" s="981">
        <v>0.83250653758719628</v>
      </c>
      <c r="BM78" s="981">
        <v>0.81699999999999995</v>
      </c>
      <c r="BN78" s="1057">
        <f t="shared" si="1"/>
        <v>0.79600000000000004</v>
      </c>
      <c r="BO78" s="1057">
        <f t="shared" si="1"/>
        <v>0.83199999999999996</v>
      </c>
      <c r="BP78" s="1057">
        <v>0.84399999999999997</v>
      </c>
    </row>
    <row r="79" spans="1:72" ht="12.75" customHeight="1" x14ac:dyDescent="0.2">
      <c r="A79" s="1235"/>
      <c r="B79" s="1246" t="s">
        <v>79</v>
      </c>
      <c r="C79" s="1245">
        <v>-1.759393109161117</v>
      </c>
      <c r="D79" s="981"/>
      <c r="E79" s="945"/>
      <c r="F79" s="945" t="e">
        <v>#DIV/0!</v>
      </c>
      <c r="G79" s="945" t="e">
        <v>#DIV/0!</v>
      </c>
      <c r="H79" s="945" t="e">
        <v>#DIV/0!</v>
      </c>
      <c r="I79" s="945">
        <v>5.3861952221360379E-2</v>
      </c>
      <c r="J79" s="981">
        <v>-1.664908019431393E-2</v>
      </c>
      <c r="K79" s="981">
        <v>-0.12325324328931955</v>
      </c>
      <c r="L79" s="981">
        <v>2.2958835689027398E-2</v>
      </c>
      <c r="M79" s="981">
        <v>7.1455883312971549E-2</v>
      </c>
      <c r="N79" s="981">
        <v>5.3418794227087951E-2</v>
      </c>
      <c r="O79" s="981">
        <v>-0.1059704092604718</v>
      </c>
      <c r="P79" s="981">
        <v>0.12221559141832895</v>
      </c>
      <c r="Q79" s="981">
        <v>0.12075453257098177</v>
      </c>
      <c r="R79" s="981">
        <v>0.14175087094282515</v>
      </c>
      <c r="S79" s="981">
        <v>0.12142847864772535</v>
      </c>
      <c r="T79" s="981">
        <v>4.3310093504849816E-2</v>
      </c>
      <c r="U79" s="981">
        <v>6.7852011686098987E-2</v>
      </c>
      <c r="V79" s="981">
        <v>8.024003193085319E-2</v>
      </c>
      <c r="W79" s="981">
        <v>0.108598583496737</v>
      </c>
      <c r="X79" s="981">
        <v>3.691874018617463E-2</v>
      </c>
      <c r="Y79" s="981">
        <v>-0.11767528560618644</v>
      </c>
      <c r="Z79" s="981">
        <v>6.2957251874029216E-2</v>
      </c>
      <c r="AA79" s="981">
        <v>0.10701269195139598</v>
      </c>
      <c r="AB79" s="981">
        <v>-2.5188284518828451E-2</v>
      </c>
      <c r="AC79" s="981">
        <v>0.1043853225937678</v>
      </c>
      <c r="AD79" s="981">
        <v>0.2392859306528807</v>
      </c>
      <c r="AE79" s="981">
        <v>0.25348265929977948</v>
      </c>
      <c r="AF79" s="981">
        <v>0.11009813444083465</v>
      </c>
      <c r="AG79" s="981">
        <v>0.13204578816064036</v>
      </c>
      <c r="AH79" s="981">
        <v>7.3183682309460429E-2</v>
      </c>
      <c r="AI79" s="981">
        <v>0.12881285472612111</v>
      </c>
      <c r="AJ79" s="981">
        <v>6.3526312386863196E-2</v>
      </c>
      <c r="AK79" s="981">
        <v>0.11635858376435841</v>
      </c>
      <c r="AL79" s="981">
        <v>6.3806123593405359E-2</v>
      </c>
      <c r="AM79" s="981">
        <v>-0.24482726980777172</v>
      </c>
      <c r="AN79" s="981">
        <v>-4.489799601187415E-2</v>
      </c>
      <c r="AO79" s="981">
        <v>0.13623572735484168</v>
      </c>
      <c r="AP79" s="981">
        <v>8.2358518188028945E-2</v>
      </c>
      <c r="AQ79" s="981">
        <v>0.15563881889677891</v>
      </c>
      <c r="AR79" s="981">
        <v>0.14809056518263475</v>
      </c>
      <c r="AS79" s="981">
        <v>0.23899999999999999</v>
      </c>
      <c r="AT79" s="981">
        <v>0.185</v>
      </c>
      <c r="AU79" s="981">
        <v>0.18899999999999995</v>
      </c>
      <c r="AV79" s="981">
        <v>0.16200000000000003</v>
      </c>
      <c r="AW79" s="981">
        <v>0.19</v>
      </c>
      <c r="AX79" s="969"/>
      <c r="AY79" s="981">
        <v>-7.688450822221235E-3</v>
      </c>
      <c r="AZ79" s="981">
        <v>6.0521388841266038E-2</v>
      </c>
      <c r="BA79" s="1245">
        <v>-6.8209839663487273</v>
      </c>
      <c r="BB79" s="981"/>
      <c r="BC79" s="969"/>
      <c r="BD79" s="981">
        <v>-7.688450822221235E-3</v>
      </c>
      <c r="BE79" s="981">
        <v>6.0521388841266038E-2</v>
      </c>
      <c r="BF79" s="981">
        <v>9.8985786512387111E-2</v>
      </c>
      <c r="BG79" s="981">
        <v>3.792267682989555E-2</v>
      </c>
      <c r="BH79" s="981">
        <v>6.7258094381546923E-2</v>
      </c>
      <c r="BI79" s="981">
        <v>0.19951694247733101</v>
      </c>
      <c r="BJ79" s="981">
        <f t="shared" ref="BJ79" si="3">BJ72/BJ70</f>
        <v>9.807337019100075E-2</v>
      </c>
      <c r="BK79" s="981">
        <v>8.4442593061640585E-3</v>
      </c>
      <c r="BL79" s="981">
        <v>0.16749346241280369</v>
      </c>
      <c r="BM79" s="981">
        <v>0.18300000000000005</v>
      </c>
      <c r="BN79" s="1057">
        <f t="shared" si="1"/>
        <v>0.20399999999999996</v>
      </c>
      <c r="BO79" s="1057">
        <f t="shared" si="1"/>
        <v>0.16800000000000004</v>
      </c>
      <c r="BP79" s="1057">
        <v>0.15600000000000003</v>
      </c>
    </row>
    <row r="80" spans="1:72" ht="12.75" customHeight="1" x14ac:dyDescent="0.2">
      <c r="A80" s="1235"/>
      <c r="B80" s="1247" t="s">
        <v>81</v>
      </c>
      <c r="C80" s="1245">
        <v>-2.2401602082640029</v>
      </c>
      <c r="D80" s="1255"/>
      <c r="E80" s="926"/>
      <c r="F80" s="926" t="e">
        <v>#DIV/0!</v>
      </c>
      <c r="G80" s="926" t="e">
        <v>#DIV/0!</v>
      </c>
      <c r="H80" s="926" t="e">
        <v>#DIV/0!</v>
      </c>
      <c r="I80" s="926">
        <v>3.9704956899705837E-2</v>
      </c>
      <c r="J80" s="975">
        <v>-1.0517042287170502E-2</v>
      </c>
      <c r="K80" s="975">
        <v>-0.10528110340579749</v>
      </c>
      <c r="L80" s="975">
        <v>1.0194016851869341E-2</v>
      </c>
      <c r="M80" s="975">
        <v>6.2106558982345864E-2</v>
      </c>
      <c r="N80" s="975">
        <v>3.7941195448777235E-2</v>
      </c>
      <c r="O80" s="975">
        <v>-8.5618516137945952E-2</v>
      </c>
      <c r="P80" s="975">
        <v>8.7805951640277477E-2</v>
      </c>
      <c r="Q80" s="975">
        <v>9.7806610304777733E-2</v>
      </c>
      <c r="R80" s="975">
        <v>0.11458218389898639</v>
      </c>
      <c r="S80" s="975">
        <v>9.1908087582644543E-2</v>
      </c>
      <c r="T80" s="975">
        <v>3.6736386152117224E-2</v>
      </c>
      <c r="U80" s="975">
        <v>6.3077161367508586E-2</v>
      </c>
      <c r="V80" s="975">
        <v>7.1472810603245382E-2</v>
      </c>
      <c r="W80" s="975">
        <v>8.8924927066168696E-2</v>
      </c>
      <c r="X80" s="975">
        <v>3.1656118199990355E-2</v>
      </c>
      <c r="Y80" s="975">
        <v>-0.10024669484278587</v>
      </c>
      <c r="Z80" s="975">
        <v>1.1756297413502015E-2</v>
      </c>
      <c r="AA80" s="975">
        <v>7.1972898592863571E-2</v>
      </c>
      <c r="AB80" s="975">
        <v>-1.3933054393305439E-2</v>
      </c>
      <c r="AC80" s="975">
        <v>8.8401144051620015E-2</v>
      </c>
      <c r="AD80" s="975">
        <v>0.17065368848320847</v>
      </c>
      <c r="AE80" s="975">
        <v>0.17895571234607627</v>
      </c>
      <c r="AF80" s="975">
        <v>8.0905650266269211E-2</v>
      </c>
      <c r="AG80" s="975">
        <v>9.3415814556632906E-2</v>
      </c>
      <c r="AH80" s="975">
        <v>7.7354628212920856E-2</v>
      </c>
      <c r="AI80" s="975">
        <v>8.725901718851943E-2</v>
      </c>
      <c r="AJ80" s="975">
        <v>5.4515774502198085E-2</v>
      </c>
      <c r="AK80" s="975">
        <v>6.6286928118839253E-2</v>
      </c>
      <c r="AL80" s="975">
        <v>3.5178885191969794E-2</v>
      </c>
      <c r="AM80" s="975">
        <v>-0.18628710372987109</v>
      </c>
      <c r="AN80" s="981">
        <v>-4.8705663680083736E-2</v>
      </c>
      <c r="AO80" s="981">
        <v>9.5299580795330852E-2</v>
      </c>
      <c r="AP80" s="981">
        <v>5.0015476207074444E-2</v>
      </c>
      <c r="AQ80" s="981">
        <v>9.7259585283113542E-2</v>
      </c>
      <c r="AR80" s="981">
        <v>9.6368334917447701E-2</v>
      </c>
      <c r="AS80" s="981">
        <v>0.159</v>
      </c>
      <c r="AT80" s="981">
        <v>0.12</v>
      </c>
      <c r="AU80" s="981">
        <v>0.13300000000000001</v>
      </c>
      <c r="AV80" s="981">
        <v>0.114</v>
      </c>
      <c r="AW80" s="981">
        <v>0.126</v>
      </c>
      <c r="AX80" s="969"/>
      <c r="AY80" s="975">
        <v>-7.6097511440013713E-3</v>
      </c>
      <c r="AZ80" s="975">
        <v>4.4654464367826531E-2</v>
      </c>
      <c r="BA80" s="1245">
        <v>-5.2264215511827903</v>
      </c>
      <c r="BB80" s="975"/>
      <c r="BC80" s="969"/>
      <c r="BD80" s="975">
        <v>-7.6097511440013713E-3</v>
      </c>
      <c r="BE80" s="975">
        <v>4.4654464367826531E-2</v>
      </c>
      <c r="BF80" s="975">
        <v>8.0498664708551007E-2</v>
      </c>
      <c r="BG80" s="975">
        <v>3.2170734216343297E-2</v>
      </c>
      <c r="BH80" s="975">
        <v>4.1650685112686485E-2</v>
      </c>
      <c r="BI80" s="975">
        <v>0.14201349910593294</v>
      </c>
      <c r="BJ80" s="975">
        <f t="shared" ref="BJ80" si="4">BJ73/BJ70</f>
        <v>7.2797067547187455E-2</v>
      </c>
      <c r="BK80" s="981">
        <v>-2.9661664444309544E-3</v>
      </c>
      <c r="BL80" s="981">
        <v>0.10846502373762712</v>
      </c>
      <c r="BM80" s="981">
        <v>0.1232055425054894</v>
      </c>
      <c r="BN80" s="1057">
        <f>BN60</f>
        <v>0.13900000000000001</v>
      </c>
      <c r="BO80" s="1057">
        <f>BO60</f>
        <v>0.112</v>
      </c>
      <c r="BP80" s="1057">
        <v>0.10100000000000001</v>
      </c>
    </row>
    <row r="81" spans="1:70" s="914" customFormat="1" ht="12.75" customHeight="1" x14ac:dyDescent="0.2">
      <c r="A81" s="1244"/>
      <c r="B81" s="1244" t="s">
        <v>408</v>
      </c>
      <c r="C81" s="1092">
        <v>-0.05</v>
      </c>
      <c r="D81" s="975">
        <v>-0.5</v>
      </c>
      <c r="E81" s="926"/>
      <c r="F81" s="962"/>
      <c r="G81" s="962"/>
      <c r="H81" s="962"/>
      <c r="I81" s="962">
        <v>0.05</v>
      </c>
      <c r="J81" s="1178">
        <v>-0.06</v>
      </c>
      <c r="K81" s="1178">
        <v>-0.25</v>
      </c>
      <c r="L81" s="1178">
        <v>-0.01</v>
      </c>
      <c r="M81" s="1178">
        <v>0.1</v>
      </c>
      <c r="N81" s="1178">
        <v>0.05</v>
      </c>
      <c r="O81" s="1178">
        <v>-0.19</v>
      </c>
      <c r="P81" s="1178">
        <v>0.19</v>
      </c>
      <c r="Q81" s="1178">
        <v>0.22</v>
      </c>
      <c r="R81" s="1178">
        <v>0.28000000000000003</v>
      </c>
      <c r="S81" s="1178">
        <v>0.18</v>
      </c>
      <c r="T81" s="1178">
        <v>0.03</v>
      </c>
      <c r="U81" s="1178">
        <v>0.1</v>
      </c>
      <c r="V81" s="1178">
        <v>0.14000000000000001</v>
      </c>
      <c r="W81" s="1178">
        <v>0.19</v>
      </c>
      <c r="X81" s="1178">
        <v>0.03</v>
      </c>
      <c r="Y81" s="1178">
        <v>-0.2</v>
      </c>
      <c r="Z81" s="1178">
        <v>0.02</v>
      </c>
      <c r="AA81" s="1178">
        <v>0.12</v>
      </c>
      <c r="AB81" s="1354">
        <v>-0.05</v>
      </c>
      <c r="AC81" s="1178">
        <v>0.19</v>
      </c>
      <c r="AD81" s="1178">
        <v>0.56000000000000005</v>
      </c>
      <c r="AE81" s="1178">
        <v>0.61</v>
      </c>
      <c r="AF81" s="1178">
        <v>0.16</v>
      </c>
      <c r="AG81" s="1178">
        <v>0.21</v>
      </c>
      <c r="AH81" s="1354">
        <v>0.22</v>
      </c>
      <c r="AI81" s="1354">
        <v>0.31</v>
      </c>
      <c r="AJ81" s="1354">
        <v>0.14000000000000001</v>
      </c>
      <c r="AK81" s="1178">
        <v>0.19</v>
      </c>
      <c r="AL81" s="1354">
        <v>0.08</v>
      </c>
      <c r="AM81" s="1354">
        <v>-0.33</v>
      </c>
      <c r="AN81" s="1354">
        <v>-0.11</v>
      </c>
      <c r="AO81" s="1178">
        <v>0.35</v>
      </c>
      <c r="AP81" s="1178">
        <v>0.16</v>
      </c>
      <c r="AQ81" s="1178">
        <v>0.40129999999999999</v>
      </c>
      <c r="AR81" s="1178">
        <v>0.34039999999999998</v>
      </c>
      <c r="AS81" s="1178">
        <v>0.86</v>
      </c>
      <c r="AT81" s="1178">
        <v>0.56999999999999995</v>
      </c>
      <c r="AU81" s="1178">
        <v>0.51</v>
      </c>
      <c r="AV81" s="1178">
        <v>0.39</v>
      </c>
      <c r="AW81" s="1178">
        <v>0.56999999999999995</v>
      </c>
      <c r="AX81" s="969"/>
      <c r="AY81" s="1384">
        <v>-0.21</v>
      </c>
      <c r="AZ81" s="1034">
        <v>0.27</v>
      </c>
      <c r="BA81" s="1092">
        <v>-0.48</v>
      </c>
      <c r="BB81" s="975">
        <v>-1.7777777777777777</v>
      </c>
      <c r="BC81" s="969"/>
      <c r="BD81" s="1384">
        <v>-0.21</v>
      </c>
      <c r="BE81" s="1178">
        <v>0.27</v>
      </c>
      <c r="BF81" s="1178">
        <v>0.59</v>
      </c>
      <c r="BG81" s="1354">
        <v>0.16</v>
      </c>
      <c r="BH81" s="1354">
        <v>0.28000000000000003</v>
      </c>
      <c r="BI81" s="1354">
        <v>1.56</v>
      </c>
      <c r="BJ81" s="1041">
        <v>0.86</v>
      </c>
      <c r="BK81" s="1041">
        <v>-0.03</v>
      </c>
      <c r="BL81" s="1041">
        <v>1.77</v>
      </c>
      <c r="BM81" s="1041">
        <v>2.0299999999999998</v>
      </c>
      <c r="BN81" s="1041">
        <f>BN62</f>
        <v>1.82</v>
      </c>
      <c r="BO81" s="1041">
        <f>BO62</f>
        <v>1.17</v>
      </c>
      <c r="BP81" s="1041">
        <v>1.43</v>
      </c>
      <c r="BQ81" s="963"/>
      <c r="BR81" s="963"/>
    </row>
    <row r="82" spans="1:70" s="914" customFormat="1" ht="12.75" customHeight="1" x14ac:dyDescent="0.2">
      <c r="A82" s="1244"/>
      <c r="B82" s="1244" t="s">
        <v>409</v>
      </c>
      <c r="C82" s="1092">
        <v>-0.05</v>
      </c>
      <c r="D82" s="975">
        <v>-0.5</v>
      </c>
      <c r="E82" s="926"/>
      <c r="F82" s="962"/>
      <c r="G82" s="962"/>
      <c r="H82" s="962"/>
      <c r="I82" s="962">
        <v>0.05</v>
      </c>
      <c r="J82" s="1178">
        <v>-0.06</v>
      </c>
      <c r="K82" s="1178">
        <v>-0.25</v>
      </c>
      <c r="L82" s="1178">
        <v>-0.01</v>
      </c>
      <c r="M82" s="1178">
        <v>0.1</v>
      </c>
      <c r="N82" s="1178">
        <v>0.05</v>
      </c>
      <c r="O82" s="1178">
        <v>-0.19</v>
      </c>
      <c r="P82" s="1178">
        <v>0.17</v>
      </c>
      <c r="Q82" s="1178">
        <v>0.2</v>
      </c>
      <c r="R82" s="1178">
        <v>0.25</v>
      </c>
      <c r="S82" s="1178">
        <v>0.17</v>
      </c>
      <c r="T82" s="1178">
        <v>0.03</v>
      </c>
      <c r="U82" s="1178">
        <v>0.09</v>
      </c>
      <c r="V82" s="1178">
        <v>0.12</v>
      </c>
      <c r="W82" s="1178">
        <v>0.17</v>
      </c>
      <c r="X82" s="1178">
        <v>0.03</v>
      </c>
      <c r="Y82" s="1178">
        <v>-0.2</v>
      </c>
      <c r="Z82" s="1178">
        <v>0.02</v>
      </c>
      <c r="AA82" s="1178">
        <v>0.11</v>
      </c>
      <c r="AB82" s="1354">
        <v>-0.05</v>
      </c>
      <c r="AC82" s="1178">
        <v>0.17</v>
      </c>
      <c r="AD82" s="1178">
        <v>0.5</v>
      </c>
      <c r="AE82" s="1178">
        <v>0.55000000000000004</v>
      </c>
      <c r="AF82" s="1178">
        <v>0.15</v>
      </c>
      <c r="AG82" s="1178">
        <v>0.19</v>
      </c>
      <c r="AH82" s="1354">
        <v>0.21</v>
      </c>
      <c r="AI82" s="1354">
        <v>0.27</v>
      </c>
      <c r="AJ82" s="1354">
        <v>0.12</v>
      </c>
      <c r="AK82" s="1178">
        <v>0.16</v>
      </c>
      <c r="AL82" s="1354">
        <v>7.0000000000000007E-2</v>
      </c>
      <c r="AM82" s="1354">
        <v>-0.33</v>
      </c>
      <c r="AN82" s="1354">
        <v>-0.11</v>
      </c>
      <c r="AO82" s="1178">
        <v>0.31</v>
      </c>
      <c r="AP82" s="1041">
        <v>0.15</v>
      </c>
      <c r="AQ82" s="1041">
        <v>0.35899999999999999</v>
      </c>
      <c r="AR82" s="1041">
        <v>0.3135</v>
      </c>
      <c r="AS82" s="1041">
        <v>0.8</v>
      </c>
      <c r="AT82" s="1041">
        <v>0.54</v>
      </c>
      <c r="AU82" s="1041">
        <v>0.49</v>
      </c>
      <c r="AV82" s="1041">
        <v>0.37</v>
      </c>
      <c r="AW82" s="1041">
        <v>0.54</v>
      </c>
      <c r="AX82" s="969"/>
      <c r="AY82" s="1384">
        <v>-0.21</v>
      </c>
      <c r="AZ82" s="1034">
        <v>0.25</v>
      </c>
      <c r="BA82" s="1092">
        <v>-0.45999999999999996</v>
      </c>
      <c r="BB82" s="975">
        <v>-1.8399999999999999</v>
      </c>
      <c r="BC82" s="969"/>
      <c r="BD82" s="1384">
        <v>-0.21</v>
      </c>
      <c r="BE82" s="1178">
        <v>0.25</v>
      </c>
      <c r="BF82" s="1178">
        <v>0.54</v>
      </c>
      <c r="BG82" s="1354">
        <v>0.14000000000000001</v>
      </c>
      <c r="BH82" s="1354">
        <v>0.25</v>
      </c>
      <c r="BI82" s="1354">
        <v>1.4</v>
      </c>
      <c r="BJ82" s="1041">
        <v>0.76</v>
      </c>
      <c r="BK82" s="1041">
        <v>-0.03</v>
      </c>
      <c r="BL82" s="1041">
        <v>1.63</v>
      </c>
      <c r="BM82" s="1041">
        <v>1.94</v>
      </c>
      <c r="BN82" s="1041">
        <f>BN63</f>
        <v>1.74</v>
      </c>
      <c r="BO82" s="1041">
        <f>BO63</f>
        <v>1.1100000000000001</v>
      </c>
      <c r="BP82" s="1041">
        <v>1.1200000000000001</v>
      </c>
      <c r="BQ82" s="963"/>
      <c r="BR82" s="963"/>
    </row>
    <row r="83" spans="1:70" s="914" customFormat="1" ht="12.75" customHeight="1" x14ac:dyDescent="0.2">
      <c r="A83" s="982"/>
      <c r="B83" s="969"/>
      <c r="C83" s="969"/>
      <c r="D83" s="969"/>
      <c r="E83" s="918"/>
      <c r="F83" s="918"/>
      <c r="G83" s="918"/>
      <c r="H83" s="918"/>
      <c r="I83" s="918"/>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69"/>
      <c r="BA83" s="969"/>
      <c r="BB83" s="969"/>
      <c r="BC83" s="969"/>
      <c r="BD83" s="969"/>
      <c r="BE83" s="969"/>
      <c r="BF83" s="969"/>
      <c r="BG83" s="969"/>
      <c r="BH83" s="969"/>
      <c r="BI83" s="969"/>
      <c r="BJ83" s="969"/>
      <c r="BK83" s="969"/>
      <c r="BL83" s="969"/>
      <c r="BM83" s="969"/>
      <c r="BN83" s="1025"/>
      <c r="BO83" s="1025"/>
      <c r="BP83" s="1244"/>
      <c r="BQ83" s="963"/>
      <c r="BR83" s="963"/>
    </row>
    <row r="84" spans="1:70" x14ac:dyDescent="0.2">
      <c r="A84" s="969" t="s">
        <v>381</v>
      </c>
      <c r="B84" s="990"/>
      <c r="C84" s="963"/>
      <c r="D84" s="963"/>
      <c r="E84" s="915"/>
      <c r="F84" s="915"/>
      <c r="G84" s="915"/>
      <c r="H84" s="915"/>
      <c r="I84" s="915"/>
      <c r="J84" s="964"/>
      <c r="K84" s="964"/>
      <c r="L84" s="964"/>
      <c r="M84" s="964"/>
      <c r="N84" s="964"/>
      <c r="O84" s="964"/>
      <c r="P84" s="964"/>
      <c r="Q84" s="964"/>
      <c r="R84" s="964"/>
      <c r="S84" s="964"/>
      <c r="T84" s="964"/>
      <c r="U84" s="964"/>
      <c r="V84" s="964"/>
      <c r="W84" s="964"/>
      <c r="X84" s="964"/>
      <c r="Y84" s="964"/>
      <c r="Z84" s="1177"/>
      <c r="AA84" s="964"/>
      <c r="AB84" s="964"/>
      <c r="AC84" s="964"/>
      <c r="AD84" s="964"/>
      <c r="AE84" s="964"/>
      <c r="AF84" s="964"/>
      <c r="AG84" s="964"/>
      <c r="AH84" s="964"/>
      <c r="AI84" s="964"/>
      <c r="AJ84" s="964"/>
      <c r="AK84" s="964"/>
      <c r="AL84" s="964"/>
      <c r="AM84" s="964"/>
      <c r="AN84" s="964"/>
      <c r="AO84" s="1025"/>
      <c r="AP84" s="963"/>
      <c r="AQ84" s="963"/>
      <c r="AR84" s="963"/>
      <c r="AS84" s="963"/>
      <c r="AT84" s="963"/>
      <c r="AU84" s="963"/>
      <c r="AV84" s="963"/>
      <c r="AW84" s="1025"/>
      <c r="AX84" s="964"/>
      <c r="AY84" s="964"/>
      <c r="AZ84" s="964"/>
      <c r="BA84" s="963"/>
      <c r="BB84" s="963"/>
      <c r="BC84" s="963"/>
      <c r="BD84" s="963"/>
      <c r="BE84" s="963"/>
      <c r="BF84" s="963"/>
      <c r="BG84" s="963"/>
      <c r="BH84" s="963"/>
      <c r="BL84" s="1025"/>
      <c r="BM84" s="1025"/>
      <c r="BN84" s="1385"/>
    </row>
    <row r="85" spans="1:70" x14ac:dyDescent="0.2">
      <c r="A85" s="989" t="s">
        <v>29</v>
      </c>
      <c r="C85" s="963"/>
      <c r="D85" s="963"/>
      <c r="E85" s="915"/>
      <c r="F85" s="915"/>
      <c r="G85" s="915"/>
      <c r="H85" s="915"/>
      <c r="I85" s="915"/>
      <c r="J85" s="964"/>
      <c r="K85" s="964"/>
      <c r="L85" s="964"/>
      <c r="M85" s="964"/>
      <c r="N85" s="964"/>
      <c r="O85" s="964"/>
      <c r="P85" s="964"/>
      <c r="Q85" s="964"/>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1386"/>
      <c r="AP85" s="963"/>
      <c r="AQ85" s="963"/>
      <c r="AR85" s="963"/>
      <c r="AS85" s="963"/>
      <c r="AT85" s="963"/>
      <c r="AU85" s="963"/>
      <c r="AV85" s="963"/>
      <c r="AW85" s="1025"/>
      <c r="AX85" s="964"/>
      <c r="AY85" s="964"/>
      <c r="AZ85" s="1177"/>
      <c r="BA85" s="963"/>
      <c r="BB85" s="963"/>
      <c r="BC85" s="963"/>
      <c r="BD85" s="963"/>
      <c r="BE85" s="963"/>
      <c r="BF85" s="963"/>
      <c r="BG85" s="963"/>
      <c r="BH85" s="963"/>
      <c r="BL85" s="1025"/>
      <c r="BM85" s="1025"/>
      <c r="BN85" s="1385"/>
    </row>
    <row r="86" spans="1:70" x14ac:dyDescent="0.2">
      <c r="A86" s="964"/>
      <c r="C86" s="963"/>
      <c r="D86" s="963"/>
      <c r="E86" s="915"/>
      <c r="F86" s="915"/>
      <c r="G86" s="915"/>
      <c r="H86" s="915"/>
      <c r="I86" s="915"/>
      <c r="J86" s="1177"/>
      <c r="K86" s="964"/>
      <c r="L86" s="1387"/>
      <c r="M86" s="964"/>
      <c r="N86" s="1177"/>
      <c r="O86" s="964"/>
      <c r="P86" s="1387"/>
      <c r="Q86" s="964"/>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3"/>
      <c r="AP86" s="963"/>
      <c r="AQ86" s="963"/>
      <c r="AR86" s="963"/>
      <c r="AS86" s="963"/>
      <c r="AT86" s="963"/>
      <c r="AU86" s="963"/>
      <c r="AV86" s="963"/>
      <c r="AW86" s="963"/>
      <c r="AX86" s="964"/>
      <c r="AY86" s="1177"/>
      <c r="AZ86" s="963"/>
      <c r="BA86" s="963"/>
      <c r="BB86" s="963"/>
      <c r="BC86" s="963"/>
      <c r="BD86" s="1389"/>
      <c r="BE86" s="1389"/>
      <c r="BF86" s="2258"/>
      <c r="BG86" s="963"/>
      <c r="BH86" s="1388"/>
      <c r="BL86" s="1041"/>
      <c r="BM86" s="1041"/>
    </row>
    <row r="87" spans="1:70" x14ac:dyDescent="0.2">
      <c r="A87" s="969" t="s">
        <v>310</v>
      </c>
      <c r="C87" s="963"/>
      <c r="D87" s="963"/>
      <c r="E87" s="915"/>
      <c r="F87" s="915"/>
      <c r="G87" s="915"/>
      <c r="H87" s="915"/>
      <c r="I87" s="915"/>
      <c r="J87" s="1177"/>
      <c r="K87" s="964"/>
      <c r="L87" s="964"/>
      <c r="M87" s="964"/>
      <c r="N87" s="1177"/>
      <c r="O87" s="964"/>
      <c r="P87" s="964"/>
      <c r="Q87" s="964"/>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3"/>
      <c r="AP87" s="963"/>
      <c r="AQ87" s="963"/>
      <c r="AR87" s="963"/>
      <c r="AS87" s="963"/>
      <c r="AT87" s="963"/>
      <c r="AU87" s="963"/>
      <c r="AV87" s="963"/>
      <c r="AW87" s="963"/>
      <c r="AX87" s="964"/>
      <c r="AY87" s="1389"/>
      <c r="AZ87" s="963"/>
      <c r="BA87" s="963"/>
      <c r="BB87" s="963"/>
      <c r="BC87" s="963"/>
      <c r="BD87" s="963"/>
      <c r="BE87" s="963"/>
      <c r="BF87" s="963"/>
      <c r="BG87" s="963"/>
      <c r="BH87" s="963"/>
      <c r="BL87" s="964"/>
      <c r="BM87" s="964"/>
    </row>
    <row r="88" spans="1:70" x14ac:dyDescent="0.2">
      <c r="C88" s="963"/>
      <c r="D88" s="963"/>
      <c r="E88" s="915"/>
      <c r="F88" s="915"/>
      <c r="G88" s="915"/>
      <c r="H88" s="915"/>
      <c r="I88" s="915"/>
      <c r="J88" s="1177"/>
      <c r="K88" s="964"/>
      <c r="L88" s="964"/>
      <c r="M88" s="964"/>
      <c r="N88" s="1177"/>
      <c r="O88" s="964"/>
      <c r="P88" s="964"/>
      <c r="Q88" s="964"/>
      <c r="R88" s="964"/>
      <c r="S88" s="964"/>
      <c r="T88" s="964"/>
      <c r="U88" s="964"/>
      <c r="V88" s="964"/>
      <c r="W88" s="964"/>
      <c r="X88" s="964"/>
      <c r="Y88" s="964"/>
      <c r="Z88" s="964"/>
      <c r="AA88" s="964"/>
      <c r="AB88" s="964"/>
      <c r="AC88" s="964"/>
      <c r="AD88" s="964"/>
      <c r="AE88" s="964"/>
      <c r="AF88" s="964"/>
      <c r="AG88" s="964"/>
      <c r="AH88" s="964"/>
      <c r="AI88" s="964"/>
      <c r="AJ88" s="964"/>
      <c r="AK88" s="964"/>
      <c r="AL88" s="964"/>
      <c r="AM88" s="964"/>
      <c r="AN88" s="964"/>
      <c r="AO88" s="963"/>
      <c r="AP88" s="963"/>
      <c r="AQ88" s="963"/>
      <c r="AR88" s="963"/>
      <c r="AS88" s="963"/>
      <c r="AT88" s="963"/>
      <c r="AU88" s="963"/>
      <c r="AV88" s="963"/>
      <c r="AW88" s="963"/>
      <c r="AX88" s="964"/>
      <c r="AY88" s="963"/>
      <c r="AZ88" s="963"/>
      <c r="BA88" s="963"/>
      <c r="BB88" s="963"/>
      <c r="BC88" s="963"/>
      <c r="BD88" s="963"/>
      <c r="BE88" s="963"/>
      <c r="BF88" s="1388"/>
      <c r="BG88" s="963"/>
      <c r="BH88" s="963"/>
      <c r="BL88" s="964"/>
      <c r="BM88" s="964"/>
    </row>
    <row r="89" spans="1:70" x14ac:dyDescent="0.2">
      <c r="C89" s="963"/>
      <c r="D89" s="963"/>
      <c r="E89" s="914"/>
      <c r="F89" s="914"/>
      <c r="G89" s="914"/>
      <c r="H89" s="914"/>
      <c r="I89" s="914"/>
      <c r="J89" s="1177"/>
      <c r="K89" s="963"/>
      <c r="L89" s="963"/>
      <c r="M89" s="964"/>
      <c r="N89" s="1177"/>
      <c r="O89" s="963"/>
      <c r="P89" s="963"/>
      <c r="Q89" s="964"/>
      <c r="R89" s="964"/>
      <c r="S89" s="964"/>
      <c r="T89" s="964"/>
      <c r="U89" s="964"/>
      <c r="V89" s="964"/>
      <c r="W89" s="964"/>
      <c r="X89" s="964"/>
      <c r="Y89" s="964"/>
      <c r="Z89" s="964"/>
      <c r="AA89" s="964"/>
      <c r="AB89" s="964"/>
      <c r="AC89" s="964"/>
      <c r="AD89" s="964"/>
      <c r="AE89" s="964"/>
      <c r="AF89" s="964"/>
      <c r="AG89" s="964"/>
      <c r="AH89" s="964"/>
      <c r="AI89" s="964"/>
      <c r="AJ89" s="964"/>
      <c r="AK89" s="964"/>
      <c r="AL89" s="964"/>
      <c r="AM89" s="964"/>
      <c r="AN89" s="964"/>
      <c r="AO89" s="963"/>
      <c r="AP89" s="963"/>
      <c r="AQ89" s="963"/>
      <c r="AR89" s="963"/>
      <c r="AS89" s="963"/>
      <c r="AT89" s="963"/>
      <c r="AU89" s="963"/>
      <c r="AV89" s="963"/>
      <c r="AW89" s="963"/>
      <c r="AX89" s="964"/>
      <c r="AY89" s="963"/>
      <c r="AZ89" s="963"/>
      <c r="BA89" s="963"/>
      <c r="BB89" s="963"/>
      <c r="BC89" s="963"/>
      <c r="BD89" s="963"/>
      <c r="BE89" s="963"/>
      <c r="BF89" s="963"/>
      <c r="BG89" s="963"/>
      <c r="BH89" s="963"/>
      <c r="BL89" s="1034"/>
      <c r="BM89" s="1034"/>
    </row>
    <row r="90" spans="1:70" x14ac:dyDescent="0.2">
      <c r="C90" s="963"/>
      <c r="D90" s="963"/>
      <c r="E90" s="914"/>
      <c r="F90" s="914"/>
      <c r="G90" s="914"/>
      <c r="H90" s="914"/>
      <c r="I90" s="914"/>
      <c r="J90" s="1177"/>
      <c r="K90" s="2261"/>
      <c r="L90" s="2261"/>
      <c r="M90" s="2261"/>
      <c r="N90" s="1177"/>
      <c r="O90" s="2261"/>
      <c r="P90" s="2261"/>
      <c r="Q90" s="2261"/>
      <c r="R90" s="2261"/>
      <c r="S90" s="2261"/>
      <c r="T90" s="2261"/>
      <c r="U90" s="2261"/>
      <c r="V90" s="2261"/>
      <c r="W90" s="2261"/>
      <c r="X90" s="2261">
        <f t="shared" ref="X90:AW90" si="5">+SUM(X26:X32)/X20</f>
        <v>0.36886049764468193</v>
      </c>
      <c r="Y90" s="2261">
        <f t="shared" si="5"/>
        <v>0.48646254360223684</v>
      </c>
      <c r="Z90" s="2261">
        <f t="shared" si="5"/>
        <v>0.3100533507417329</v>
      </c>
      <c r="AA90" s="2261">
        <f t="shared" si="5"/>
        <v>0.3313701492335468</v>
      </c>
      <c r="AB90" s="2261">
        <f t="shared" si="5"/>
        <v>0.39697907949790795</v>
      </c>
      <c r="AC90" s="2261">
        <f t="shared" si="5"/>
        <v>0.30856223753465639</v>
      </c>
      <c r="AD90" s="2261">
        <f t="shared" si="5"/>
        <v>0.21144611159352975</v>
      </c>
      <c r="AE90" s="2261">
        <f t="shared" si="5"/>
        <v>0.19537816774841663</v>
      </c>
      <c r="AF90" s="2261">
        <f t="shared" si="5"/>
        <v>0.32030009712965135</v>
      </c>
      <c r="AG90" s="2261">
        <f t="shared" si="5"/>
        <v>0.29618146751186503</v>
      </c>
      <c r="AH90" s="2261">
        <f t="shared" si="5"/>
        <v>0.30174732591366071</v>
      </c>
      <c r="AI90" s="2261">
        <f t="shared" si="5"/>
        <v>0.24290259069152467</v>
      </c>
      <c r="AJ90" s="2261">
        <f t="shared" si="5"/>
        <v>0.30655223687613137</v>
      </c>
      <c r="AK90" s="2261">
        <f t="shared" si="5"/>
        <v>0.28518946916624838</v>
      </c>
      <c r="AL90" s="2261">
        <f t="shared" si="5"/>
        <v>0.38178997345695165</v>
      </c>
      <c r="AM90" s="2261">
        <f t="shared" si="5"/>
        <v>0.60120658806257743</v>
      </c>
      <c r="AN90" s="2261">
        <f t="shared" si="5"/>
        <v>0.45685695982098551</v>
      </c>
      <c r="AO90" s="2261">
        <f t="shared" si="5"/>
        <v>0.29534821780114412</v>
      </c>
      <c r="AP90" s="2261">
        <f t="shared" si="5"/>
        <v>0.37250951577597147</v>
      </c>
      <c r="AQ90" s="2261">
        <f t="shared" si="5"/>
        <v>0.28022841061553061</v>
      </c>
      <c r="AR90" s="2261">
        <f t="shared" si="5"/>
        <v>0.32276277939686154</v>
      </c>
      <c r="AS90" s="2261">
        <f t="shared" si="5"/>
        <v>0.20964330743889048</v>
      </c>
      <c r="AT90" s="2261">
        <f t="shared" si="5"/>
        <v>0.23074435301672958</v>
      </c>
      <c r="AU90" s="2261">
        <f t="shared" si="5"/>
        <v>0.24451946857492163</v>
      </c>
      <c r="AV90" s="2261">
        <f t="shared" si="5"/>
        <v>0.28945530054924984</v>
      </c>
      <c r="AW90" s="2261">
        <f t="shared" si="5"/>
        <v>0.24016261819169735</v>
      </c>
      <c r="AX90" s="993"/>
      <c r="AY90" s="2262"/>
      <c r="AZ90" s="2261"/>
      <c r="BA90" s="963"/>
      <c r="BB90" s="963"/>
      <c r="BC90" s="963"/>
      <c r="BD90" s="963"/>
      <c r="BE90" s="963"/>
      <c r="BF90" s="963"/>
      <c r="BG90" s="963"/>
      <c r="BH90" s="963"/>
      <c r="BL90" s="1120"/>
      <c r="BM90" s="1120"/>
      <c r="BN90" s="963"/>
    </row>
    <row r="91" spans="1:70" x14ac:dyDescent="0.2">
      <c r="C91" s="963"/>
      <c r="D91" s="963"/>
      <c r="E91" s="914"/>
      <c r="F91" s="914"/>
      <c r="G91" s="914"/>
      <c r="H91" s="914"/>
      <c r="I91" s="914"/>
      <c r="J91" s="1177"/>
      <c r="K91" s="963"/>
      <c r="L91" s="963"/>
      <c r="M91" s="1177"/>
      <c r="N91" s="1177"/>
      <c r="O91" s="963"/>
      <c r="P91" s="963"/>
      <c r="Q91" s="1177"/>
      <c r="R91" s="1177"/>
      <c r="S91" s="964"/>
      <c r="T91" s="964"/>
      <c r="U91" s="1177"/>
      <c r="V91" s="1177"/>
      <c r="W91" s="2263"/>
      <c r="X91" s="2263"/>
      <c r="Y91" s="2263"/>
      <c r="Z91" s="1177"/>
      <c r="AA91" s="964"/>
      <c r="AB91" s="964"/>
      <c r="AC91" s="964"/>
      <c r="AD91" s="964"/>
      <c r="AE91" s="964"/>
      <c r="AF91" s="964"/>
      <c r="AG91" s="964"/>
      <c r="AH91" s="964"/>
      <c r="AI91" s="964"/>
      <c r="AJ91" s="964"/>
      <c r="AK91" s="964"/>
      <c r="AL91" s="964"/>
      <c r="AM91" s="964"/>
      <c r="AN91" s="964"/>
      <c r="AO91" s="1041"/>
      <c r="AP91" s="963"/>
      <c r="AQ91" s="963"/>
      <c r="AR91" s="963"/>
      <c r="AS91" s="963"/>
      <c r="AT91" s="963"/>
      <c r="AU91" s="963"/>
      <c r="AV91" s="963"/>
      <c r="AW91" s="981"/>
      <c r="AX91" s="964"/>
      <c r="AY91" s="993"/>
      <c r="AZ91" s="993"/>
      <c r="BA91" s="963"/>
      <c r="BB91" s="963"/>
      <c r="BC91" s="963"/>
      <c r="BD91" s="963"/>
      <c r="BE91" s="1388"/>
      <c r="BF91" s="1388"/>
      <c r="BG91" s="1388"/>
      <c r="BH91" s="963"/>
      <c r="BL91" s="1120"/>
      <c r="BM91" s="1120"/>
      <c r="BN91" s="963"/>
    </row>
    <row r="92" spans="1:70" x14ac:dyDescent="0.2">
      <c r="C92" s="963"/>
      <c r="D92" s="963"/>
      <c r="E92" s="914"/>
      <c r="F92" s="914"/>
      <c r="G92" s="914"/>
      <c r="H92" s="914"/>
      <c r="I92" s="914"/>
      <c r="J92" s="1177"/>
      <c r="K92" s="963"/>
      <c r="L92" s="2264"/>
      <c r="M92" s="2264"/>
      <c r="N92" s="1177"/>
      <c r="O92" s="963"/>
      <c r="P92" s="2264"/>
      <c r="Q92" s="2264"/>
      <c r="R92" s="1177"/>
      <c r="S92" s="964"/>
      <c r="T92" s="964"/>
      <c r="U92" s="964"/>
      <c r="V92" s="964"/>
      <c r="W92" s="2263"/>
      <c r="X92" s="2263"/>
      <c r="Y92" s="2263"/>
      <c r="Z92" s="1177"/>
      <c r="AA92" s="964"/>
      <c r="AB92" s="964"/>
      <c r="AC92" s="964"/>
      <c r="AD92" s="964"/>
      <c r="AE92" s="964"/>
      <c r="AF92" s="964"/>
      <c r="AG92" s="964"/>
      <c r="AH92" s="964"/>
      <c r="AI92" s="964"/>
      <c r="AJ92" s="964"/>
      <c r="AK92" s="964"/>
      <c r="AL92" s="964"/>
      <c r="AM92" s="964"/>
      <c r="AN92" s="964"/>
      <c r="AO92" s="1178"/>
      <c r="AP92" s="963"/>
      <c r="AQ92" s="963"/>
      <c r="AR92" s="963"/>
      <c r="AS92" s="963"/>
      <c r="AT92" s="963"/>
      <c r="AU92" s="963"/>
      <c r="AV92" s="963"/>
      <c r="AW92" s="1178"/>
      <c r="AX92" s="964"/>
      <c r="AY92" s="964"/>
      <c r="AZ92" s="964"/>
      <c r="BA92" s="963"/>
      <c r="BB92" s="963"/>
      <c r="BC92" s="963"/>
      <c r="BD92" s="963"/>
      <c r="BE92" s="1177"/>
      <c r="BF92" s="1177"/>
      <c r="BG92" s="963"/>
      <c r="BH92" s="963"/>
      <c r="BL92" s="1226"/>
      <c r="BM92" s="1226"/>
      <c r="BN92" s="963"/>
    </row>
    <row r="93" spans="1:70" x14ac:dyDescent="0.2">
      <c r="C93" s="963"/>
      <c r="D93" s="963"/>
      <c r="E93" s="914"/>
      <c r="F93" s="914"/>
      <c r="G93" s="914"/>
      <c r="H93" s="914"/>
      <c r="I93" s="914"/>
      <c r="J93" s="1177"/>
      <c r="K93" s="963"/>
      <c r="L93" s="963"/>
      <c r="M93" s="964"/>
      <c r="N93" s="1177"/>
      <c r="O93" s="963"/>
      <c r="P93" s="963"/>
      <c r="Q93" s="964"/>
      <c r="R93" s="1177"/>
      <c r="S93" s="964"/>
      <c r="T93" s="964"/>
      <c r="U93" s="964"/>
      <c r="V93" s="1177"/>
      <c r="W93" s="1177"/>
      <c r="X93" s="1177"/>
      <c r="Y93" s="1177"/>
      <c r="Z93" s="1177"/>
      <c r="AA93" s="964"/>
      <c r="AB93" s="964"/>
      <c r="AC93" s="964"/>
      <c r="AD93" s="964"/>
      <c r="AE93" s="964"/>
      <c r="AF93" s="964"/>
      <c r="AG93" s="964"/>
      <c r="AH93" s="964"/>
      <c r="AI93" s="964"/>
      <c r="AJ93" s="964"/>
      <c r="AK93" s="964"/>
      <c r="AL93" s="964"/>
      <c r="AM93" s="964"/>
      <c r="AN93" s="964"/>
      <c r="AO93" s="964"/>
      <c r="AP93" s="963"/>
      <c r="AQ93" s="963"/>
      <c r="AR93" s="963"/>
      <c r="AS93" s="963"/>
      <c r="AT93" s="963"/>
      <c r="AU93" s="963"/>
      <c r="AV93" s="963"/>
      <c r="AW93" s="1392"/>
      <c r="AX93" s="964"/>
      <c r="AY93" s="964"/>
      <c r="AZ93" s="964"/>
      <c r="BA93" s="963"/>
      <c r="BB93" s="963"/>
      <c r="BC93" s="963"/>
      <c r="BD93" s="963"/>
      <c r="BE93" s="1177"/>
      <c r="BF93" s="1177"/>
      <c r="BG93" s="963"/>
      <c r="BH93" s="963"/>
      <c r="BL93" s="1226"/>
      <c r="BM93" s="1226"/>
      <c r="BN93" s="963"/>
    </row>
    <row r="94" spans="1:70" x14ac:dyDescent="0.2">
      <c r="C94" s="963"/>
      <c r="D94" s="963"/>
      <c r="E94" s="914"/>
      <c r="F94" s="914"/>
      <c r="G94" s="914"/>
      <c r="H94" s="914"/>
      <c r="I94" s="914"/>
      <c r="J94" s="964"/>
      <c r="K94" s="963"/>
      <c r="L94" s="963"/>
      <c r="M94" s="963"/>
      <c r="N94" s="964"/>
      <c r="O94" s="963"/>
      <c r="P94" s="963"/>
      <c r="Q94" s="963"/>
      <c r="R94" s="1177"/>
      <c r="S94" s="963"/>
      <c r="T94" s="963"/>
      <c r="U94" s="963"/>
      <c r="V94" s="963"/>
      <c r="W94" s="2263"/>
      <c r="X94" s="2263"/>
      <c r="Y94" s="2263"/>
      <c r="Z94" s="1177"/>
      <c r="AA94" s="964"/>
      <c r="AB94" s="964"/>
      <c r="AC94" s="964"/>
      <c r="AD94" s="964"/>
      <c r="AE94" s="964"/>
      <c r="AF94" s="964"/>
      <c r="AG94" s="964"/>
      <c r="AH94" s="964"/>
      <c r="AI94" s="964"/>
      <c r="AJ94" s="964"/>
      <c r="AK94" s="964"/>
      <c r="AL94" s="964"/>
      <c r="AM94" s="964"/>
      <c r="AN94" s="964"/>
      <c r="AO94" s="964"/>
      <c r="AP94" s="964"/>
      <c r="AQ94" s="963"/>
      <c r="AR94" s="963"/>
      <c r="AS94" s="964"/>
      <c r="AT94" s="963"/>
      <c r="AU94" s="964"/>
      <c r="AV94" s="964"/>
      <c r="AW94" s="964"/>
      <c r="AX94" s="964"/>
      <c r="AY94" s="964"/>
      <c r="AZ94" s="964"/>
      <c r="BA94" s="963"/>
      <c r="BB94" s="963"/>
      <c r="BC94" s="963"/>
      <c r="BD94" s="963"/>
      <c r="BE94" s="1177"/>
      <c r="BF94" s="1177"/>
      <c r="BG94" s="1177"/>
      <c r="BH94" s="963"/>
      <c r="BL94" s="1226"/>
      <c r="BM94" s="1226"/>
    </row>
    <row r="95" spans="1:70" x14ac:dyDescent="0.2">
      <c r="C95" s="963"/>
      <c r="D95" s="963"/>
      <c r="E95" s="914"/>
      <c r="F95" s="914"/>
      <c r="G95" s="914"/>
      <c r="H95" s="914"/>
      <c r="I95" s="914"/>
      <c r="J95" s="963"/>
      <c r="K95" s="963"/>
      <c r="L95" s="2264"/>
      <c r="M95" s="963"/>
      <c r="N95" s="963"/>
      <c r="O95" s="963"/>
      <c r="P95" s="2264"/>
      <c r="Q95" s="963"/>
      <c r="R95" s="1177"/>
      <c r="S95" s="963"/>
      <c r="T95" s="963"/>
      <c r="U95" s="963"/>
      <c r="V95" s="963"/>
      <c r="W95" s="964"/>
      <c r="X95" s="964"/>
      <c r="Y95" s="964"/>
      <c r="Z95" s="964"/>
      <c r="AA95" s="964"/>
      <c r="AB95" s="964"/>
      <c r="AC95" s="964"/>
      <c r="AD95" s="964"/>
      <c r="AE95" s="964"/>
      <c r="AF95" s="964"/>
      <c r="AG95" s="964"/>
      <c r="AH95" s="964"/>
      <c r="AI95" s="964"/>
      <c r="AJ95" s="964"/>
      <c r="AK95" s="964"/>
      <c r="AL95" s="964"/>
      <c r="AM95" s="964"/>
      <c r="AN95" s="964"/>
      <c r="AO95" s="1057"/>
      <c r="AP95" s="1057"/>
      <c r="AQ95" s="1057"/>
      <c r="AR95" s="1057"/>
      <c r="AS95" s="1057"/>
      <c r="AT95" s="1057"/>
      <c r="AU95" s="1057"/>
      <c r="AV95" s="1057"/>
      <c r="AW95" s="1057"/>
      <c r="AX95" s="964"/>
      <c r="AY95" s="964"/>
      <c r="AZ95" s="964"/>
      <c r="BA95" s="1245"/>
      <c r="BB95" s="963"/>
      <c r="BC95" s="963"/>
      <c r="BD95" s="963"/>
      <c r="BE95" s="993"/>
      <c r="BF95" s="993"/>
      <c r="BG95" s="993"/>
      <c r="BH95" s="963"/>
      <c r="BL95" s="1226"/>
      <c r="BM95" s="1226"/>
    </row>
    <row r="96" spans="1:70" x14ac:dyDescent="0.2">
      <c r="C96" s="963"/>
      <c r="D96" s="963"/>
      <c r="E96" s="914"/>
      <c r="F96" s="914"/>
      <c r="G96" s="914"/>
      <c r="H96" s="914"/>
      <c r="I96" s="914"/>
      <c r="J96" s="963"/>
      <c r="K96" s="963"/>
      <c r="L96" s="963"/>
      <c r="M96" s="963"/>
      <c r="N96" s="963"/>
      <c r="O96" s="963"/>
      <c r="P96" s="963"/>
      <c r="Q96" s="963"/>
      <c r="R96" s="1177"/>
      <c r="S96" s="963"/>
      <c r="T96" s="963"/>
      <c r="U96" s="963"/>
      <c r="V96" s="963"/>
      <c r="W96" s="964"/>
      <c r="X96" s="964"/>
      <c r="Y96" s="964"/>
      <c r="Z96" s="964"/>
      <c r="AA96" s="964"/>
      <c r="AB96" s="964"/>
      <c r="AC96" s="964"/>
      <c r="AD96" s="964"/>
      <c r="AE96" s="964"/>
      <c r="AF96" s="964"/>
      <c r="AG96" s="964"/>
      <c r="AH96" s="964"/>
      <c r="AI96" s="964"/>
      <c r="AJ96" s="964"/>
      <c r="AK96" s="964"/>
      <c r="AL96" s="964"/>
      <c r="AM96" s="964"/>
      <c r="AN96" s="964"/>
      <c r="AO96" s="1120"/>
      <c r="AP96" s="1120"/>
      <c r="AQ96" s="1120"/>
      <c r="AR96" s="1120"/>
      <c r="AS96" s="1120"/>
      <c r="AT96" s="1120"/>
      <c r="AU96" s="1120"/>
      <c r="AV96" s="1120"/>
      <c r="AW96" s="1120"/>
      <c r="AX96" s="964"/>
      <c r="AY96" s="964"/>
      <c r="AZ96" s="964"/>
      <c r="BA96" s="963"/>
      <c r="BB96" s="963"/>
      <c r="BC96" s="963"/>
      <c r="BD96" s="963"/>
      <c r="BE96" s="1177"/>
      <c r="BF96" s="1177"/>
      <c r="BG96" s="963"/>
      <c r="BH96" s="963"/>
      <c r="BL96" s="1226"/>
      <c r="BM96" s="1226"/>
    </row>
    <row r="97" spans="5:52" x14ac:dyDescent="0.2">
      <c r="E97" s="1180"/>
      <c r="F97" s="1180"/>
      <c r="G97" s="1180"/>
      <c r="H97" s="1180"/>
      <c r="I97" s="1180"/>
      <c r="J97" s="1225"/>
      <c r="K97" s="1225"/>
      <c r="L97" s="1225"/>
      <c r="M97" s="1225"/>
      <c r="N97" s="1225"/>
      <c r="O97" s="1225"/>
      <c r="P97" s="1225"/>
      <c r="Q97" s="1225"/>
      <c r="R97" s="1225"/>
      <c r="S97" s="1225"/>
      <c r="T97" s="1225"/>
      <c r="U97" s="1225"/>
      <c r="V97" s="1225"/>
      <c r="AO97" s="1226"/>
      <c r="AP97" s="1226"/>
      <c r="AQ97" s="1226"/>
      <c r="AR97" s="1226"/>
      <c r="AS97" s="1226"/>
      <c r="AT97" s="1226"/>
      <c r="AU97" s="1226"/>
      <c r="AV97" s="1226"/>
      <c r="AW97" s="1226"/>
      <c r="AY97" s="1226"/>
      <c r="AZ97" s="1226"/>
    </row>
  </sheetData>
  <mergeCells count="6">
    <mergeCell ref="BA11:BB11"/>
    <mergeCell ref="BA69:BB69"/>
    <mergeCell ref="C69:D69"/>
    <mergeCell ref="C10:D10"/>
    <mergeCell ref="C11:D11"/>
    <mergeCell ref="C68:D68"/>
  </mergeCells>
  <phoneticPr fontId="16" type="noConversion"/>
  <conditionalFormatting sqref="BN77:BP80 A66:A67 A83 BN61:BP61 BK54:BL55 A61:B61 BN51:BP55 BH61:BL61 B51:B55 A51 A54:A55">
    <cfRule type="cellIs" dxfId="76" priority="9" stopIfTrue="1" operator="equal">
      <formula>0</formula>
    </cfRule>
  </conditionalFormatting>
  <conditionalFormatting sqref="BG61">
    <cfRule type="cellIs" dxfId="75" priority="5" stopIfTrue="1" operator="equal">
      <formula>0</formula>
    </cfRule>
  </conditionalFormatting>
  <conditionalFormatting sqref="BG61">
    <cfRule type="cellIs" dxfId="74" priority="4" stopIfTrue="1" operator="equal">
      <formula>0</formula>
    </cfRule>
  </conditionalFormatting>
  <conditionalFormatting sqref="BF61">
    <cfRule type="cellIs" dxfId="73" priority="3" stopIfTrue="1" operator="equal">
      <formula>0</formula>
    </cfRule>
  </conditionalFormatting>
  <conditionalFormatting sqref="BE61">
    <cfRule type="cellIs" dxfId="72" priority="2" stopIfTrue="1" operator="equal">
      <formula>0</formula>
    </cfRule>
  </conditionalFormatting>
  <conditionalFormatting sqref="BD61">
    <cfRule type="cellIs" dxfId="71" priority="1" stopIfTrue="1" operator="equal">
      <formula>0</formula>
    </cfRule>
  </conditionalFormatting>
  <printOptions horizontalCentered="1"/>
  <pageMargins left="0.3" right="0.3" top="0.4" bottom="0.6" header="0" footer="0.3"/>
  <pageSetup scale="50" orientation="landscape" r:id="rId1"/>
  <headerFooter alignWithMargins="0">
    <oddFooter>&amp;L&amp;F&amp;CPage 2</oddFooter>
  </headerFooter>
  <colBreaks count="1" manualBreakCount="1">
    <brk id="68"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3"/>
  <sheetViews>
    <sheetView topLeftCell="A4" zoomScale="90" zoomScaleNormal="90" zoomScaleSheetLayoutView="80" workbookViewId="0">
      <selection activeCell="L51" sqref="L51:L52"/>
    </sheetView>
  </sheetViews>
  <sheetFormatPr defaultRowHeight="12.75" x14ac:dyDescent="0.2"/>
  <cols>
    <col min="1" max="1" width="2.7109375" style="1225" customWidth="1"/>
    <col min="2" max="2" width="50.140625" style="1225" customWidth="1"/>
    <col min="3" max="3" width="11.5703125" style="1225" customWidth="1"/>
    <col min="4" max="4" width="9.7109375" style="1225" customWidth="1"/>
    <col min="5" max="5" width="1.5703125" style="1181" customWidth="1"/>
    <col min="6" max="8" width="7.85546875" style="1181" hidden="1" customWidth="1"/>
    <col min="9" max="9" width="8.5703125" style="1181" bestFit="1" customWidth="1"/>
    <col min="10" max="10" width="9.7109375" style="1226" customWidth="1"/>
    <col min="11" max="11" width="10.140625" style="1226" customWidth="1"/>
    <col min="12" max="13" width="8" style="1226" bestFit="1" customWidth="1"/>
    <col min="14" max="15" width="8.28515625" style="1226" bestFit="1" customWidth="1"/>
    <col min="16" max="17" width="8" style="1226" bestFit="1" customWidth="1"/>
    <col min="18" max="19" width="8" style="1226" hidden="1" customWidth="1"/>
    <col min="20" max="37" width="9.5703125" style="1226" hidden="1" customWidth="1"/>
    <col min="38" max="40" width="9.7109375" style="1226" hidden="1" customWidth="1"/>
    <col min="41" max="49" width="9.7109375" style="1225" hidden="1" customWidth="1"/>
    <col min="50" max="50" width="1.5703125" style="1226" hidden="1" customWidth="1"/>
    <col min="51" max="54" width="10" style="1225" hidden="1" customWidth="1"/>
    <col min="55" max="55" width="1.5703125" style="1225" customWidth="1"/>
    <col min="56" max="56" width="10.28515625" style="1225" customWidth="1"/>
    <col min="57" max="60" width="9.7109375" style="1225" customWidth="1"/>
    <col min="61" max="68" width="9.7109375" style="1225" hidden="1" customWidth="1"/>
    <col min="69" max="69" width="1.5703125" style="1225" customWidth="1"/>
    <col min="70" max="70" width="9.140625" style="1225"/>
    <col min="71" max="16384" width="9.140625" style="1180"/>
  </cols>
  <sheetData>
    <row r="1" spans="1:76" ht="6.75" customHeight="1" x14ac:dyDescent="0.2"/>
    <row r="2" spans="1:76" x14ac:dyDescent="0.2">
      <c r="Q2" s="1256"/>
      <c r="U2" s="1256"/>
      <c r="Y2" s="1256"/>
      <c r="AC2" s="1256"/>
      <c r="AF2" s="1256"/>
      <c r="AG2" s="1256"/>
      <c r="AJ2" s="1256"/>
      <c r="AK2" s="1256"/>
      <c r="AO2" s="1226"/>
      <c r="AP2" s="1226"/>
      <c r="AQ2" s="1226"/>
      <c r="AR2" s="1226"/>
      <c r="AS2" s="1226"/>
      <c r="AT2" s="1226"/>
      <c r="AU2" s="1226"/>
      <c r="AV2" s="1226"/>
      <c r="AW2" s="1226"/>
      <c r="AY2" s="1226"/>
    </row>
    <row r="3" spans="1:76" x14ac:dyDescent="0.2">
      <c r="C3" s="1245"/>
      <c r="J3" s="1259"/>
      <c r="K3" s="1259"/>
      <c r="L3" s="1434"/>
      <c r="M3" s="1259"/>
      <c r="N3" s="1259"/>
      <c r="O3" s="1259"/>
      <c r="P3" s="1434"/>
      <c r="Q3" s="1259"/>
      <c r="R3" s="1259"/>
      <c r="S3" s="1259"/>
      <c r="T3" s="1434"/>
      <c r="U3" s="1259"/>
      <c r="V3" s="1259"/>
      <c r="W3" s="1259"/>
      <c r="X3" s="1434"/>
      <c r="Y3" s="1259"/>
      <c r="Z3" s="1259"/>
      <c r="AA3" s="1259"/>
      <c r="AB3" s="1259"/>
      <c r="AC3" s="1259"/>
      <c r="AO3" s="1226"/>
      <c r="AP3" s="1226"/>
      <c r="AQ3" s="1226"/>
      <c r="AR3" s="1226"/>
      <c r="AS3" s="1226"/>
      <c r="AT3" s="1226"/>
      <c r="AU3" s="1226"/>
      <c r="AV3" s="1226"/>
      <c r="AW3" s="1226"/>
      <c r="AY3" s="1259"/>
    </row>
    <row r="4" spans="1:76" x14ac:dyDescent="0.2">
      <c r="C4" s="1245"/>
      <c r="J4" s="1259"/>
      <c r="K4" s="1259"/>
      <c r="L4" s="1251"/>
      <c r="M4" s="1259"/>
      <c r="N4" s="1259"/>
      <c r="O4" s="1259"/>
      <c r="P4" s="1251"/>
      <c r="Q4" s="1259"/>
      <c r="R4" s="1259"/>
      <c r="S4" s="1259"/>
      <c r="T4" s="1251"/>
      <c r="U4" s="1259"/>
      <c r="V4" s="1259"/>
      <c r="W4" s="1259"/>
      <c r="X4" s="1251"/>
      <c r="Y4" s="1259"/>
      <c r="Z4" s="1259"/>
      <c r="AA4" s="1259"/>
      <c r="AB4" s="1259"/>
      <c r="AC4" s="1435"/>
      <c r="AD4" s="1435"/>
      <c r="AE4" s="1436"/>
      <c r="AO4" s="1226"/>
      <c r="AP4" s="1226"/>
      <c r="AQ4" s="1226"/>
      <c r="AR4" s="1226"/>
      <c r="AS4" s="1226"/>
      <c r="AT4" s="1226"/>
      <c r="AU4" s="1226"/>
      <c r="AV4" s="1226"/>
      <c r="AW4" s="1226"/>
      <c r="AY4" s="1259"/>
    </row>
    <row r="5" spans="1:76" ht="8.25" customHeight="1" x14ac:dyDescent="0.2">
      <c r="A5" s="1226"/>
      <c r="B5" s="1226"/>
      <c r="C5" s="1245"/>
      <c r="D5" s="1226"/>
      <c r="J5" s="1259"/>
      <c r="K5" s="1259"/>
      <c r="L5" s="1251"/>
      <c r="M5" s="1259"/>
      <c r="N5" s="1259"/>
      <c r="O5" s="1259"/>
      <c r="P5" s="1251"/>
      <c r="Q5" s="1259"/>
      <c r="R5" s="1259"/>
      <c r="S5" s="1259"/>
      <c r="T5" s="1251"/>
      <c r="U5" s="1259"/>
      <c r="V5" s="1259"/>
      <c r="W5" s="1259"/>
      <c r="X5" s="1251"/>
      <c r="Y5" s="1259"/>
      <c r="Z5" s="1259"/>
      <c r="AA5" s="1259"/>
      <c r="AB5" s="1259"/>
      <c r="AC5" s="1435"/>
      <c r="AD5" s="1435"/>
      <c r="AE5" s="1436"/>
      <c r="AO5" s="1226"/>
      <c r="AP5" s="1226"/>
      <c r="AQ5" s="1226"/>
      <c r="AR5" s="1226"/>
      <c r="AS5" s="1226"/>
      <c r="AT5" s="1226"/>
      <c r="AU5" s="1226"/>
      <c r="AV5" s="1226"/>
      <c r="AW5" s="1226"/>
      <c r="AY5" s="1259"/>
    </row>
    <row r="6" spans="1:76" ht="18" customHeight="1" x14ac:dyDescent="0.2">
      <c r="A6" s="1227" t="s">
        <v>182</v>
      </c>
      <c r="B6" s="1226"/>
      <c r="C6" s="1245"/>
      <c r="D6" s="1226"/>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259"/>
      <c r="AW6" s="1259"/>
      <c r="AX6" s="1259"/>
      <c r="AY6" s="1259"/>
      <c r="AZ6" s="1259"/>
      <c r="BA6" s="1245"/>
      <c r="BB6" s="1245"/>
      <c r="BC6" s="1391"/>
      <c r="BD6" s="1391"/>
      <c r="BE6" s="1391"/>
      <c r="BF6" s="1391"/>
      <c r="BG6" s="1391"/>
      <c r="BH6" s="1391"/>
      <c r="BI6" s="1391"/>
      <c r="BJ6" s="1391"/>
    </row>
    <row r="7" spans="1:76" ht="18" customHeight="1" x14ac:dyDescent="0.2">
      <c r="A7" s="1227" t="s">
        <v>364</v>
      </c>
      <c r="B7" s="1226"/>
      <c r="C7" s="1245"/>
      <c r="D7" s="1226"/>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1259"/>
      <c r="AM7" s="1259"/>
      <c r="AN7" s="1259"/>
      <c r="AO7" s="1259"/>
      <c r="AP7" s="1259"/>
      <c r="AQ7" s="1259"/>
      <c r="AR7" s="1259"/>
      <c r="AS7" s="1259"/>
      <c r="AT7" s="1259"/>
      <c r="AU7" s="1259"/>
      <c r="AV7" s="1259"/>
      <c r="AW7" s="1259"/>
      <c r="AX7" s="1259"/>
      <c r="AY7" s="1259"/>
      <c r="AZ7" s="1259"/>
      <c r="BA7" s="1245"/>
      <c r="BB7" s="1245"/>
      <c r="BC7" s="1391"/>
      <c r="BD7" s="1391"/>
      <c r="BE7" s="1391"/>
      <c r="BF7" s="1391"/>
      <c r="BG7" s="1391"/>
      <c r="BH7" s="1391"/>
      <c r="BI7" s="1391"/>
      <c r="BJ7" s="1391"/>
    </row>
    <row r="8" spans="1:76" ht="18" customHeight="1" x14ac:dyDescent="0.2">
      <c r="A8" s="1228" t="s">
        <v>411</v>
      </c>
      <c r="B8" s="966"/>
      <c r="C8" s="1245"/>
      <c r="D8" s="996"/>
      <c r="E8" s="917"/>
      <c r="F8" s="917"/>
      <c r="G8" s="917"/>
      <c r="H8" s="917"/>
      <c r="I8" s="917"/>
      <c r="J8" s="966"/>
      <c r="K8" s="1259"/>
      <c r="L8" s="1259"/>
      <c r="M8" s="1259"/>
      <c r="N8" s="966"/>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1259"/>
      <c r="AM8" s="1259"/>
      <c r="AN8" s="1259"/>
      <c r="AO8" s="1259"/>
      <c r="AP8" s="1259"/>
      <c r="AQ8" s="1259"/>
      <c r="AR8" s="1259"/>
      <c r="AS8" s="1259"/>
      <c r="AT8" s="1259"/>
      <c r="AU8" s="1259"/>
      <c r="AV8" s="1259"/>
      <c r="AW8" s="1259"/>
      <c r="AX8" s="1259"/>
      <c r="AY8" s="1259"/>
      <c r="AZ8" s="1259"/>
      <c r="BA8" s="1245"/>
      <c r="BB8" s="1245"/>
      <c r="BC8" s="1391"/>
      <c r="BD8" s="1391"/>
      <c r="BE8" s="1391"/>
      <c r="BF8" s="1391"/>
      <c r="BG8" s="1391"/>
      <c r="BH8" s="1391"/>
      <c r="BI8" s="1391"/>
      <c r="BJ8" s="1391"/>
    </row>
    <row r="9" spans="1:76" ht="15" x14ac:dyDescent="0.2">
      <c r="A9" s="967" t="s">
        <v>264</v>
      </c>
      <c r="B9" s="966"/>
      <c r="C9" s="1245"/>
      <c r="D9" s="966"/>
      <c r="E9" s="917"/>
      <c r="F9" s="917"/>
      <c r="G9" s="917"/>
      <c r="H9" s="917"/>
      <c r="I9" s="917"/>
      <c r="J9" s="997"/>
      <c r="K9" s="1259"/>
      <c r="L9" s="1259"/>
      <c r="M9" s="1259"/>
      <c r="N9" s="1437"/>
      <c r="O9" s="1259"/>
      <c r="P9" s="1259"/>
      <c r="Q9" s="1438"/>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45"/>
      <c r="BB9" s="1245"/>
      <c r="BC9" s="1391"/>
      <c r="BD9" s="1391"/>
      <c r="BE9" s="1391"/>
      <c r="BF9" s="1391"/>
      <c r="BG9" s="1391"/>
      <c r="BH9" s="1391"/>
      <c r="BI9" s="1391"/>
      <c r="BJ9" s="1391"/>
    </row>
    <row r="10" spans="1:76" ht="9.75" customHeight="1" x14ac:dyDescent="0.2">
      <c r="A10" s="1251"/>
      <c r="B10" s="966"/>
      <c r="C10" s="966"/>
      <c r="D10" s="966"/>
      <c r="E10" s="917"/>
      <c r="F10" s="917"/>
      <c r="G10" s="917"/>
      <c r="H10" s="917"/>
      <c r="I10" s="917"/>
      <c r="J10" s="1439"/>
      <c r="K10" s="1259"/>
      <c r="L10" s="1259"/>
      <c r="M10" s="1259"/>
      <c r="N10" s="1439"/>
      <c r="O10" s="1259"/>
      <c r="P10" s="1259"/>
      <c r="Q10" s="1259"/>
      <c r="R10" s="996"/>
      <c r="S10" s="1259"/>
      <c r="T10" s="996"/>
      <c r="U10" s="1259"/>
      <c r="V10" s="996"/>
      <c r="W10" s="1259"/>
      <c r="X10" s="1440"/>
      <c r="Y10" s="996"/>
      <c r="Z10" s="996"/>
      <c r="AA10" s="996"/>
      <c r="AB10" s="996"/>
      <c r="AC10" s="996"/>
      <c r="AD10" s="996"/>
      <c r="AE10" s="996"/>
      <c r="AF10" s="996"/>
      <c r="AG10" s="996"/>
      <c r="AH10" s="996"/>
      <c r="AI10" s="996"/>
      <c r="AJ10" s="996"/>
      <c r="AK10" s="996"/>
      <c r="AL10" s="996"/>
      <c r="AM10" s="996"/>
      <c r="AN10" s="996"/>
      <c r="AO10" s="1259"/>
      <c r="AP10" s="1259"/>
      <c r="AQ10" s="1259"/>
      <c r="AR10" s="1391"/>
      <c r="AS10" s="1391"/>
      <c r="AT10" s="1391"/>
      <c r="AU10" s="1391"/>
      <c r="AV10" s="1391"/>
      <c r="AW10" s="1391"/>
      <c r="AX10" s="1259"/>
      <c r="AY10" s="1259"/>
      <c r="AZ10" s="1259"/>
      <c r="BA10" s="1440"/>
      <c r="BB10" s="1391"/>
      <c r="BC10" s="1391"/>
      <c r="BD10" s="1391"/>
      <c r="BE10" s="1391"/>
      <c r="BF10" s="1391"/>
      <c r="BG10" s="1391"/>
      <c r="BH10" s="1391"/>
      <c r="BI10" s="1391"/>
      <c r="BJ10" s="1391"/>
    </row>
    <row r="11" spans="1:76" ht="12" customHeight="1" x14ac:dyDescent="0.2">
      <c r="A11" s="968" t="s">
        <v>1</v>
      </c>
      <c r="B11" s="964"/>
      <c r="C11" s="964"/>
      <c r="D11" s="964"/>
      <c r="E11" s="915"/>
      <c r="F11" s="915"/>
      <c r="G11" s="915"/>
      <c r="H11" s="915"/>
      <c r="I11" s="915"/>
      <c r="J11" s="964"/>
      <c r="K11" s="964"/>
      <c r="L11" s="993"/>
      <c r="M11" s="964"/>
      <c r="N11" s="964"/>
      <c r="O11" s="964"/>
      <c r="P11" s="993"/>
      <c r="Q11" s="993"/>
      <c r="R11" s="993"/>
      <c r="S11" s="993"/>
      <c r="T11" s="993"/>
      <c r="U11" s="993"/>
      <c r="V11" s="993"/>
      <c r="W11" s="993"/>
      <c r="X11" s="993"/>
      <c r="Y11" s="993"/>
      <c r="Z11" s="1441"/>
      <c r="AA11" s="993"/>
      <c r="AB11" s="993"/>
      <c r="AC11" s="993"/>
      <c r="AD11" s="1441"/>
      <c r="AE11" s="993"/>
      <c r="AF11" s="1441"/>
      <c r="AG11" s="993"/>
      <c r="AH11" s="1441"/>
      <c r="AI11" s="993"/>
      <c r="AJ11" s="1441"/>
      <c r="AK11" s="993"/>
      <c r="AL11" s="1441"/>
      <c r="AM11" s="993"/>
      <c r="AN11" s="993"/>
      <c r="AO11" s="1259"/>
      <c r="AP11" s="1259"/>
      <c r="AQ11" s="1259"/>
      <c r="AR11" s="1391"/>
      <c r="AS11" s="1391"/>
      <c r="AT11" s="1391"/>
      <c r="AU11" s="1391"/>
      <c r="AV11" s="1391"/>
      <c r="AW11" s="1391"/>
      <c r="AX11" s="1259"/>
      <c r="AY11" s="1391"/>
      <c r="AZ11" s="1391"/>
      <c r="BA11" s="1442"/>
      <c r="BB11" s="1442"/>
      <c r="BC11" s="1391"/>
      <c r="BD11" s="1391"/>
      <c r="BE11" s="1391"/>
      <c r="BF11" s="1391"/>
      <c r="BG11" s="1391"/>
      <c r="BH11" s="1391"/>
      <c r="BI11" s="1391"/>
      <c r="BJ11" s="1391"/>
    </row>
    <row r="12" spans="1:76" ht="13.5" x14ac:dyDescent="0.2">
      <c r="A12" s="968" t="s">
        <v>2</v>
      </c>
      <c r="B12" s="969"/>
      <c r="C12" s="2455" t="s">
        <v>456</v>
      </c>
      <c r="D12" s="2456"/>
      <c r="E12" s="919"/>
      <c r="F12" s="921"/>
      <c r="G12" s="921"/>
      <c r="H12" s="921"/>
      <c r="I12" s="921"/>
      <c r="J12" s="1002"/>
      <c r="K12" s="1000"/>
      <c r="L12" s="1000"/>
      <c r="M12" s="1000"/>
      <c r="N12" s="1002"/>
      <c r="O12" s="1000"/>
      <c r="P12" s="1000"/>
      <c r="Q12" s="1261"/>
      <c r="R12" s="1000"/>
      <c r="S12" s="1000"/>
      <c r="T12" s="1000"/>
      <c r="U12" s="1261"/>
      <c r="V12" s="1000"/>
      <c r="W12" s="1000"/>
      <c r="X12" s="1000"/>
      <c r="Y12" s="1261"/>
      <c r="Z12" s="1262"/>
      <c r="AA12" s="1263"/>
      <c r="AB12" s="1000"/>
      <c r="AC12" s="1261"/>
      <c r="AD12" s="1262"/>
      <c r="AE12" s="1263"/>
      <c r="AF12" s="1000"/>
      <c r="AG12" s="1261"/>
      <c r="AI12" s="1263"/>
      <c r="AJ12" s="964"/>
      <c r="AK12" s="1261"/>
      <c r="AL12" s="1263"/>
      <c r="AN12" s="1000"/>
      <c r="AO12" s="1261"/>
      <c r="AP12" s="1263"/>
      <c r="AQ12" s="1263"/>
      <c r="AR12" s="1263"/>
      <c r="AS12" s="1263"/>
      <c r="AT12" s="1264"/>
      <c r="AU12" s="1261"/>
      <c r="AV12" s="1261"/>
      <c r="AW12" s="1261"/>
      <c r="AX12" s="1265"/>
      <c r="AY12" s="1006" t="s">
        <v>448</v>
      </c>
      <c r="AZ12" s="1006"/>
      <c r="BA12" s="1006" t="s">
        <v>441</v>
      </c>
      <c r="BB12" s="1007"/>
      <c r="BC12" s="1008"/>
      <c r="BD12" s="1009"/>
      <c r="BE12" s="1009"/>
      <c r="BF12" s="1009"/>
      <c r="BG12" s="1009"/>
      <c r="BH12" s="1009"/>
      <c r="BI12" s="1009"/>
      <c r="BJ12" s="1009"/>
      <c r="BK12" s="1009"/>
      <c r="BL12" s="1262"/>
      <c r="BM12" s="1264"/>
      <c r="BN12" s="1009"/>
      <c r="BO12" s="2279"/>
      <c r="BP12" s="2278"/>
      <c r="BQ12" s="1266"/>
    </row>
    <row r="13" spans="1:76" x14ac:dyDescent="0.2">
      <c r="B13" s="969"/>
      <c r="C13" s="2457" t="s">
        <v>39</v>
      </c>
      <c r="D13" s="2458"/>
      <c r="E13" s="924"/>
      <c r="F13" s="2270" t="s">
        <v>452</v>
      </c>
      <c r="G13" s="925" t="s">
        <v>453</v>
      </c>
      <c r="H13" s="925" t="s">
        <v>454</v>
      </c>
      <c r="I13" s="925" t="s">
        <v>455</v>
      </c>
      <c r="J13" s="1012" t="s">
        <v>399</v>
      </c>
      <c r="K13" s="1010" t="s">
        <v>398</v>
      </c>
      <c r="L13" s="1010" t="s">
        <v>397</v>
      </c>
      <c r="M13" s="1010" t="s">
        <v>395</v>
      </c>
      <c r="N13" s="1012" t="s">
        <v>373</v>
      </c>
      <c r="O13" s="1010" t="s">
        <v>374</v>
      </c>
      <c r="P13" s="1010" t="s">
        <v>375</v>
      </c>
      <c r="Q13" s="1011" t="s">
        <v>376</v>
      </c>
      <c r="R13" s="1010" t="s">
        <v>330</v>
      </c>
      <c r="S13" s="1010" t="s">
        <v>329</v>
      </c>
      <c r="T13" s="1010" t="s">
        <v>328</v>
      </c>
      <c r="U13" s="1011" t="s">
        <v>326</v>
      </c>
      <c r="V13" s="1010" t="s">
        <v>282</v>
      </c>
      <c r="W13" s="1010" t="s">
        <v>283</v>
      </c>
      <c r="X13" s="1010" t="s">
        <v>284</v>
      </c>
      <c r="Y13" s="1011" t="s">
        <v>285</v>
      </c>
      <c r="Z13" s="1012" t="s">
        <v>220</v>
      </c>
      <c r="AA13" s="1010" t="s">
        <v>221</v>
      </c>
      <c r="AB13" s="1010" t="s">
        <v>222</v>
      </c>
      <c r="AC13" s="1011" t="s">
        <v>219</v>
      </c>
      <c r="AD13" s="1012" t="s">
        <v>185</v>
      </c>
      <c r="AE13" s="1010" t="s">
        <v>186</v>
      </c>
      <c r="AF13" s="1010" t="s">
        <v>187</v>
      </c>
      <c r="AG13" s="1011" t="s">
        <v>188</v>
      </c>
      <c r="AH13" s="1010" t="s">
        <v>118</v>
      </c>
      <c r="AI13" s="1010" t="s">
        <v>117</v>
      </c>
      <c r="AJ13" s="1010" t="s">
        <v>116</v>
      </c>
      <c r="AK13" s="1011" t="s">
        <v>115</v>
      </c>
      <c r="AL13" s="1010" t="s">
        <v>83</v>
      </c>
      <c r="AM13" s="1010" t="s">
        <v>84</v>
      </c>
      <c r="AN13" s="1010" t="s">
        <v>85</v>
      </c>
      <c r="AO13" s="1011" t="s">
        <v>30</v>
      </c>
      <c r="AP13" s="1010" t="s">
        <v>31</v>
      </c>
      <c r="AQ13" s="1010" t="s">
        <v>32</v>
      </c>
      <c r="AR13" s="1010" t="s">
        <v>33</v>
      </c>
      <c r="AS13" s="1010" t="s">
        <v>34</v>
      </c>
      <c r="AT13" s="1013" t="s">
        <v>35</v>
      </c>
      <c r="AU13" s="1011" t="s">
        <v>36</v>
      </c>
      <c r="AV13" s="1011" t="s">
        <v>37</v>
      </c>
      <c r="AW13" s="1011" t="s">
        <v>38</v>
      </c>
      <c r="AX13" s="1014"/>
      <c r="AY13" s="1010" t="s">
        <v>399</v>
      </c>
      <c r="AZ13" s="1010" t="s">
        <v>373</v>
      </c>
      <c r="BA13" s="2453" t="s">
        <v>39</v>
      </c>
      <c r="BB13" s="2454"/>
      <c r="BC13" s="1015"/>
      <c r="BD13" s="1012" t="s">
        <v>438</v>
      </c>
      <c r="BE13" s="1012" t="s">
        <v>385</v>
      </c>
      <c r="BF13" s="1012" t="s">
        <v>332</v>
      </c>
      <c r="BG13" s="1012" t="s">
        <v>287</v>
      </c>
      <c r="BH13" s="1012" t="s">
        <v>224</v>
      </c>
      <c r="BI13" s="1012" t="s">
        <v>120</v>
      </c>
      <c r="BJ13" s="1012" t="s">
        <v>119</v>
      </c>
      <c r="BK13" s="1012" t="s">
        <v>43</v>
      </c>
      <c r="BL13" s="1012" t="s">
        <v>40</v>
      </c>
      <c r="BM13" s="1013" t="s">
        <v>41</v>
      </c>
      <c r="BN13" s="1013" t="s">
        <v>138</v>
      </c>
      <c r="BO13" s="1013" t="s">
        <v>139</v>
      </c>
      <c r="BP13" s="1012" t="s">
        <v>140</v>
      </c>
      <c r="BQ13" s="1266"/>
      <c r="BR13" s="1226"/>
      <c r="BS13" s="1181"/>
      <c r="BT13" s="1181"/>
      <c r="BU13" s="1181"/>
      <c r="BV13" s="1181"/>
      <c r="BW13" s="1181"/>
      <c r="BX13" s="1181"/>
    </row>
    <row r="14" spans="1:76" x14ac:dyDescent="0.2">
      <c r="A14" s="970" t="s">
        <v>61</v>
      </c>
      <c r="B14" s="971"/>
      <c r="C14" s="1230"/>
      <c r="D14" s="1418"/>
      <c r="E14" s="1187"/>
      <c r="F14" s="1186"/>
      <c r="G14" s="1186"/>
      <c r="H14" s="1186"/>
      <c r="I14" s="1186"/>
      <c r="J14" s="1270"/>
      <c r="K14" s="1268"/>
      <c r="L14" s="1268"/>
      <c r="M14" s="1268"/>
      <c r="N14" s="1270"/>
      <c r="O14" s="1268"/>
      <c r="P14" s="1268"/>
      <c r="Q14" s="1269"/>
      <c r="R14" s="1268"/>
      <c r="S14" s="1268"/>
      <c r="T14" s="1268"/>
      <c r="U14" s="1269"/>
      <c r="V14" s="1268"/>
      <c r="W14" s="1268"/>
      <c r="X14" s="1268"/>
      <c r="Y14" s="1269"/>
      <c r="Z14" s="1270"/>
      <c r="AA14" s="1268"/>
      <c r="AB14" s="1268"/>
      <c r="AC14" s="1269"/>
      <c r="AD14" s="1270"/>
      <c r="AE14" s="1268"/>
      <c r="AF14" s="1268"/>
      <c r="AG14" s="1269"/>
      <c r="AH14" s="1270"/>
      <c r="AI14" s="1268"/>
      <c r="AJ14" s="1268"/>
      <c r="AK14" s="1269"/>
      <c r="AL14" s="1008"/>
      <c r="AM14" s="1008"/>
      <c r="AN14" s="1008"/>
      <c r="AO14" s="1271"/>
      <c r="AP14" s="1008"/>
      <c r="AQ14" s="1008"/>
      <c r="AR14" s="1008"/>
      <c r="AS14" s="1008"/>
      <c r="AT14" s="1014"/>
      <c r="AU14" s="1271"/>
      <c r="AV14" s="1271"/>
      <c r="AW14" s="1271"/>
      <c r="AX14" s="1014"/>
      <c r="AY14" s="1268"/>
      <c r="AZ14" s="1268"/>
      <c r="BA14" s="1263"/>
      <c r="BB14" s="1261"/>
      <c r="BC14" s="1015"/>
      <c r="BD14" s="1270"/>
      <c r="BE14" s="1270"/>
      <c r="BF14" s="1270"/>
      <c r="BG14" s="1270"/>
      <c r="BH14" s="1270"/>
      <c r="BI14" s="1272"/>
      <c r="BJ14" s="1443" t="s">
        <v>241</v>
      </c>
      <c r="BK14" s="1443" t="s">
        <v>241</v>
      </c>
      <c r="BL14" s="1443" t="s">
        <v>241</v>
      </c>
      <c r="BM14" s="1444" t="s">
        <v>241</v>
      </c>
      <c r="BN14" s="1445"/>
      <c r="BO14" s="1445"/>
      <c r="BP14" s="1446"/>
      <c r="BQ14" s="1266"/>
      <c r="BR14" s="1226"/>
      <c r="BS14" s="1181"/>
      <c r="BT14" s="1181"/>
      <c r="BU14" s="1181"/>
      <c r="BV14" s="1181"/>
    </row>
    <row r="15" spans="1:76" x14ac:dyDescent="0.2">
      <c r="A15" s="969"/>
      <c r="B15" s="1228" t="s">
        <v>86</v>
      </c>
      <c r="C15" s="979">
        <v>14556</v>
      </c>
      <c r="D15" s="1056">
        <v>0.423928238583411</v>
      </c>
      <c r="E15" s="937"/>
      <c r="F15" s="1210">
        <v>0</v>
      </c>
      <c r="G15" s="1210">
        <v>0</v>
      </c>
      <c r="H15" s="1210">
        <v>0</v>
      </c>
      <c r="I15" s="1210">
        <v>48892</v>
      </c>
      <c r="J15" s="1238">
        <v>39106</v>
      </c>
      <c r="K15" s="1323">
        <v>33199</v>
      </c>
      <c r="L15" s="1323">
        <v>24758</v>
      </c>
      <c r="M15" s="1323">
        <v>34336</v>
      </c>
      <c r="N15" s="1238">
        <v>48292</v>
      </c>
      <c r="O15" s="1323">
        <v>29192</v>
      </c>
      <c r="P15" s="1323">
        <v>68913</v>
      </c>
      <c r="Q15" s="1276">
        <v>58188</v>
      </c>
      <c r="R15" s="1323">
        <v>43057</v>
      </c>
      <c r="S15" s="1323">
        <v>41283</v>
      </c>
      <c r="T15" s="1323">
        <v>31264</v>
      </c>
      <c r="U15" s="1276">
        <v>32910</v>
      </c>
      <c r="V15" s="1452">
        <v>56814</v>
      </c>
      <c r="W15" s="1452">
        <v>76454</v>
      </c>
      <c r="X15" s="1452">
        <v>35445</v>
      </c>
      <c r="Y15" s="1276">
        <v>35624</v>
      </c>
      <c r="Z15" s="1323">
        <v>71006</v>
      </c>
      <c r="AA15" s="1452">
        <v>56942</v>
      </c>
      <c r="AB15" s="1452">
        <v>42491</v>
      </c>
      <c r="AC15" s="1276">
        <v>61867</v>
      </c>
      <c r="AD15" s="1323">
        <v>100901</v>
      </c>
      <c r="AE15" s="1452">
        <v>121385</v>
      </c>
      <c r="AF15" s="1452">
        <v>58181</v>
      </c>
      <c r="AG15" s="1276">
        <v>57447</v>
      </c>
      <c r="AH15" s="1323">
        <v>39289</v>
      </c>
      <c r="AI15" s="1452">
        <v>67352</v>
      </c>
      <c r="AJ15" s="1452">
        <v>34463</v>
      </c>
      <c r="AK15" s="1276">
        <v>36477</v>
      </c>
      <c r="AL15" s="1452">
        <v>31276</v>
      </c>
      <c r="AM15" s="1452">
        <v>20429</v>
      </c>
      <c r="AN15" s="1452">
        <v>29110</v>
      </c>
      <c r="AO15" s="1453">
        <v>42035</v>
      </c>
      <c r="AP15" s="1323">
        <v>39733</v>
      </c>
      <c r="AQ15" s="1323">
        <v>52078</v>
      </c>
      <c r="AR15" s="1323">
        <v>48387</v>
      </c>
      <c r="AS15" s="1323">
        <v>72387</v>
      </c>
      <c r="AT15" s="1238">
        <v>68481</v>
      </c>
      <c r="AU15" s="1276">
        <v>58781</v>
      </c>
      <c r="AV15" s="1276">
        <v>46473</v>
      </c>
      <c r="AW15" s="1276">
        <v>53589</v>
      </c>
      <c r="AX15" s="1274"/>
      <c r="AY15" s="1294">
        <v>131399</v>
      </c>
      <c r="AZ15" s="1294">
        <v>204585</v>
      </c>
      <c r="BA15" s="1025">
        <v>-73186</v>
      </c>
      <c r="BB15" s="1056">
        <v>-0.35772906127037662</v>
      </c>
      <c r="BC15" s="1235"/>
      <c r="BD15" s="1447">
        <v>131399</v>
      </c>
      <c r="BE15" s="1447">
        <v>204585</v>
      </c>
      <c r="BF15" s="1447">
        <v>148514</v>
      </c>
      <c r="BG15" s="1447">
        <v>204337</v>
      </c>
      <c r="BH15" s="1447">
        <v>232306</v>
      </c>
      <c r="BI15" s="1447">
        <v>338520</v>
      </c>
      <c r="BJ15" s="1447" t="e">
        <f>SUM(#REF!)</f>
        <v>#REF!</v>
      </c>
      <c r="BK15" s="1447" t="e">
        <f>SUM(#REF!)</f>
        <v>#REF!</v>
      </c>
      <c r="BL15" s="1447" t="e">
        <f>SUM(#REF!)</f>
        <v>#REF!</v>
      </c>
      <c r="BM15" s="1447">
        <v>227324</v>
      </c>
      <c r="BN15" s="1369">
        <v>189074</v>
      </c>
      <c r="BO15" s="1369">
        <v>123564</v>
      </c>
      <c r="BP15" s="1369">
        <v>127269</v>
      </c>
      <c r="BQ15" s="1226"/>
      <c r="BS15" s="1181"/>
      <c r="BT15" s="1181"/>
      <c r="BU15" s="1181"/>
      <c r="BV15" s="1181"/>
    </row>
    <row r="16" spans="1:76" ht="13.5" customHeight="1" x14ac:dyDescent="0.2">
      <c r="A16" s="969"/>
      <c r="B16" s="1228" t="s">
        <v>255</v>
      </c>
      <c r="C16" s="979">
        <v>-20715</v>
      </c>
      <c r="D16" s="1056">
        <v>-0.45796210731103398</v>
      </c>
      <c r="E16" s="937"/>
      <c r="F16" s="1190">
        <v>0</v>
      </c>
      <c r="G16" s="1190">
        <v>0</v>
      </c>
      <c r="H16" s="1190">
        <v>0</v>
      </c>
      <c r="I16" s="1190">
        <v>24518</v>
      </c>
      <c r="J16" s="1448">
        <v>32531</v>
      </c>
      <c r="K16" s="1275">
        <v>29341</v>
      </c>
      <c r="L16" s="1275">
        <v>38339</v>
      </c>
      <c r="M16" s="1275">
        <v>45233</v>
      </c>
      <c r="N16" s="1448">
        <v>38594</v>
      </c>
      <c r="O16" s="1275">
        <v>23692</v>
      </c>
      <c r="P16" s="1275">
        <v>48910</v>
      </c>
      <c r="Q16" s="1276">
        <v>44746</v>
      </c>
      <c r="R16" s="1275">
        <v>63175</v>
      </c>
      <c r="S16" s="1275">
        <v>65707</v>
      </c>
      <c r="T16" s="1275">
        <v>42936</v>
      </c>
      <c r="U16" s="1276">
        <v>40489</v>
      </c>
      <c r="V16" s="1275">
        <v>45552</v>
      </c>
      <c r="W16" s="1275">
        <v>44248</v>
      </c>
      <c r="X16" s="1275">
        <v>39034</v>
      </c>
      <c r="Y16" s="1276">
        <v>29220</v>
      </c>
      <c r="Z16" s="1275">
        <v>19861</v>
      </c>
      <c r="AA16" s="1275">
        <v>12748</v>
      </c>
      <c r="AB16" s="1275">
        <v>9338</v>
      </c>
      <c r="AC16" s="1276">
        <v>9246</v>
      </c>
      <c r="AD16" s="1275">
        <v>34555</v>
      </c>
      <c r="AE16" s="1275">
        <v>23339</v>
      </c>
      <c r="AF16" s="1275">
        <v>18338</v>
      </c>
      <c r="AG16" s="1276">
        <v>16445</v>
      </c>
      <c r="AH16" s="1275">
        <v>21333</v>
      </c>
      <c r="AI16" s="1275">
        <v>26421</v>
      </c>
      <c r="AJ16" s="1275" t="e">
        <v>#REF!</v>
      </c>
      <c r="AK16" s="1276" t="e">
        <v>#REF!</v>
      </c>
      <c r="AL16" s="1275" t="e">
        <v>#REF!</v>
      </c>
      <c r="AM16" s="1275" t="e">
        <v>#REF!</v>
      </c>
      <c r="AN16" s="1275" t="e">
        <v>#REF!</v>
      </c>
      <c r="AO16" s="1276" t="e">
        <v>#REF!</v>
      </c>
      <c r="AP16" s="1323" t="e">
        <v>#REF!</v>
      </c>
      <c r="AQ16" s="1323" t="e">
        <v>#REF!</v>
      </c>
      <c r="AR16" s="1323" t="e">
        <v>#REF!</v>
      </c>
      <c r="AS16" s="1323" t="e">
        <v>#REF!</v>
      </c>
      <c r="AT16" s="1238" t="e">
        <v>#REF!</v>
      </c>
      <c r="AU16" s="1276" t="e">
        <v>#REF!</v>
      </c>
      <c r="AV16" s="1276" t="e">
        <v>#REF!</v>
      </c>
      <c r="AW16" s="1276" t="e">
        <v>#REF!</v>
      </c>
      <c r="AX16" s="1274"/>
      <c r="AY16" s="1294">
        <v>145444</v>
      </c>
      <c r="AZ16" s="1294">
        <v>155942</v>
      </c>
      <c r="BA16" s="1025">
        <v>-10498</v>
      </c>
      <c r="BB16" s="1056">
        <v>-6.7319900988829173E-2</v>
      </c>
      <c r="BC16" s="1235"/>
      <c r="BD16" s="1447">
        <v>145444</v>
      </c>
      <c r="BE16" s="1447">
        <v>155942</v>
      </c>
      <c r="BF16" s="1447">
        <v>212307</v>
      </c>
      <c r="BG16" s="1447">
        <v>158054</v>
      </c>
      <c r="BH16" s="1447">
        <v>51193</v>
      </c>
      <c r="BI16" s="1447">
        <v>92677</v>
      </c>
      <c r="BJ16" s="1447">
        <f>'8 UK and Europe'!AU16</f>
        <v>82454</v>
      </c>
      <c r="BK16" s="1447">
        <f>'8 UK and Europe'!AV16</f>
        <v>72926</v>
      </c>
      <c r="BL16" s="1447">
        <f>'8 UK and Europe'!AW16</f>
        <v>118332</v>
      </c>
      <c r="BM16" s="1447">
        <f>'8 UK and Europe'!AX16</f>
        <v>129852</v>
      </c>
      <c r="BN16" s="1054">
        <v>125900</v>
      </c>
      <c r="BO16" s="1054">
        <v>116090</v>
      </c>
      <c r="BP16" s="1054">
        <v>84489</v>
      </c>
      <c r="BQ16" s="1226"/>
      <c r="BS16" s="1181"/>
      <c r="BT16" s="1181"/>
      <c r="BU16" s="1181"/>
      <c r="BV16" s="1181"/>
    </row>
    <row r="17" spans="1:74" ht="12.75" customHeight="1" x14ac:dyDescent="0.2">
      <c r="A17" s="969"/>
      <c r="B17" s="1228" t="s">
        <v>197</v>
      </c>
      <c r="C17" s="979">
        <v>-1076</v>
      </c>
      <c r="D17" s="1056">
        <v>-1.964399817434961E-2</v>
      </c>
      <c r="E17" s="937"/>
      <c r="F17" s="1190">
        <v>0</v>
      </c>
      <c r="G17" s="1190">
        <v>0</v>
      </c>
      <c r="H17" s="1190">
        <v>0</v>
      </c>
      <c r="I17" s="1190">
        <v>53699</v>
      </c>
      <c r="J17" s="1448">
        <v>55262</v>
      </c>
      <c r="K17" s="1275">
        <v>51442</v>
      </c>
      <c r="L17" s="1275">
        <v>55932</v>
      </c>
      <c r="M17" s="1275">
        <v>54775</v>
      </c>
      <c r="N17" s="1448">
        <v>56515</v>
      </c>
      <c r="O17" s="1275">
        <v>43493</v>
      </c>
      <c r="P17" s="1275">
        <v>40703</v>
      </c>
      <c r="Q17" s="1276">
        <v>62261</v>
      </c>
      <c r="R17" s="1275">
        <v>71273</v>
      </c>
      <c r="S17" s="1275">
        <v>48269</v>
      </c>
      <c r="T17" s="1275">
        <v>44000</v>
      </c>
      <c r="U17" s="1276">
        <v>52943</v>
      </c>
      <c r="V17" s="1275">
        <v>45206</v>
      </c>
      <c r="W17" s="1275">
        <v>37625</v>
      </c>
      <c r="X17" s="1275">
        <v>39474</v>
      </c>
      <c r="Y17" s="1276">
        <v>31050</v>
      </c>
      <c r="Z17" s="1275">
        <v>18487</v>
      </c>
      <c r="AA17" s="1275">
        <v>17197</v>
      </c>
      <c r="AB17" s="1275">
        <v>17790</v>
      </c>
      <c r="AC17" s="1276">
        <v>26012</v>
      </c>
      <c r="AD17" s="1275">
        <v>27712</v>
      </c>
      <c r="AE17" s="1275">
        <v>32618</v>
      </c>
      <c r="AF17" s="1275">
        <v>20083</v>
      </c>
      <c r="AG17" s="1276">
        <v>25806</v>
      </c>
      <c r="AH17" s="1275">
        <v>19380</v>
      </c>
      <c r="AI17" s="1275">
        <v>21984</v>
      </c>
      <c r="AJ17" s="1275">
        <v>29595</v>
      </c>
      <c r="AK17" s="1276">
        <v>26670</v>
      </c>
      <c r="AL17" s="1298">
        <v>16696</v>
      </c>
      <c r="AM17" s="1298">
        <v>16073</v>
      </c>
      <c r="AN17" s="1298">
        <v>17456</v>
      </c>
      <c r="AO17" s="1299">
        <v>24569</v>
      </c>
      <c r="AP17" s="1323">
        <v>23292</v>
      </c>
      <c r="AQ17" s="1323">
        <v>22388</v>
      </c>
      <c r="AR17" s="1323">
        <v>19827</v>
      </c>
      <c r="AS17" s="1323">
        <v>25281</v>
      </c>
      <c r="AT17" s="1238">
        <v>18686</v>
      </c>
      <c r="AU17" s="1276">
        <v>17651</v>
      </c>
      <c r="AV17" s="1276">
        <v>17682</v>
      </c>
      <c r="AW17" s="1276">
        <v>22625</v>
      </c>
      <c r="AX17" s="1274"/>
      <c r="AY17" s="1294">
        <v>217411</v>
      </c>
      <c r="AZ17" s="1294">
        <v>202972</v>
      </c>
      <c r="BA17" s="1025">
        <v>14439</v>
      </c>
      <c r="BB17" s="1056">
        <v>7.1137890940622353E-2</v>
      </c>
      <c r="BC17" s="1235"/>
      <c r="BD17" s="1447">
        <v>217411</v>
      </c>
      <c r="BE17" s="1447">
        <v>202972</v>
      </c>
      <c r="BF17" s="1447">
        <v>216485</v>
      </c>
      <c r="BG17" s="1447">
        <v>153355</v>
      </c>
      <c r="BH17" s="1447">
        <v>79486</v>
      </c>
      <c r="BI17" s="1447">
        <v>106219</v>
      </c>
      <c r="BJ17" s="1447">
        <v>97629</v>
      </c>
      <c r="BK17" s="1447">
        <v>74794</v>
      </c>
      <c r="BL17" s="1447">
        <v>90788</v>
      </c>
      <c r="BM17" s="1447">
        <v>76644</v>
      </c>
      <c r="BN17" s="1054">
        <v>18692</v>
      </c>
      <c r="BO17" s="1054">
        <v>0</v>
      </c>
      <c r="BP17" s="1054">
        <v>0</v>
      </c>
      <c r="BQ17" s="1226"/>
      <c r="BS17" s="1181"/>
      <c r="BT17" s="1181"/>
      <c r="BU17" s="1181"/>
      <c r="BV17" s="1181"/>
    </row>
    <row r="18" spans="1:74" ht="13.5" customHeight="1" x14ac:dyDescent="0.2">
      <c r="A18" s="969"/>
      <c r="B18" s="1228" t="s">
        <v>431</v>
      </c>
      <c r="C18" s="979">
        <v>2798</v>
      </c>
      <c r="D18" s="1056">
        <v>0.26171546160321768</v>
      </c>
      <c r="E18" s="937"/>
      <c r="F18" s="1197">
        <v>0</v>
      </c>
      <c r="G18" s="1197">
        <v>0</v>
      </c>
      <c r="H18" s="1197">
        <v>0</v>
      </c>
      <c r="I18" s="1197">
        <v>13489</v>
      </c>
      <c r="J18" s="1454">
        <v>11680</v>
      </c>
      <c r="K18" s="1298">
        <v>8163</v>
      </c>
      <c r="L18" s="1298">
        <v>7482</v>
      </c>
      <c r="M18" s="1298">
        <v>10691</v>
      </c>
      <c r="N18" s="1454">
        <v>15978</v>
      </c>
      <c r="O18" s="1298">
        <v>7489</v>
      </c>
      <c r="P18" s="1298">
        <v>12089</v>
      </c>
      <c r="Q18" s="1276">
        <v>14050</v>
      </c>
      <c r="R18" s="1298">
        <v>9154</v>
      </c>
      <c r="S18" s="1298">
        <v>15975</v>
      </c>
      <c r="T18" s="1298">
        <v>8491</v>
      </c>
      <c r="U18" s="1276">
        <v>4864</v>
      </c>
      <c r="V18" s="1298">
        <v>6425</v>
      </c>
      <c r="W18" s="1298">
        <v>7298</v>
      </c>
      <c r="X18" s="1298">
        <v>6157</v>
      </c>
      <c r="Y18" s="1276">
        <v>5407</v>
      </c>
      <c r="Z18" s="1275">
        <v>3713</v>
      </c>
      <c r="AA18" s="1298">
        <v>6694</v>
      </c>
      <c r="AB18" s="1298">
        <v>-167</v>
      </c>
      <c r="AC18" s="1276">
        <v>252</v>
      </c>
      <c r="AD18" s="1275">
        <v>603</v>
      </c>
      <c r="AE18" s="1298">
        <v>416</v>
      </c>
      <c r="AF18" s="1275">
        <v>361</v>
      </c>
      <c r="AG18" s="1276">
        <v>-152</v>
      </c>
      <c r="AH18" s="1275">
        <v>3494</v>
      </c>
      <c r="AI18" s="1298">
        <v>333</v>
      </c>
      <c r="AJ18" s="1275"/>
      <c r="AK18" s="1276"/>
      <c r="AL18" s="1275"/>
      <c r="AM18" s="1275"/>
      <c r="AN18" s="1275"/>
      <c r="AO18" s="1276"/>
      <c r="AP18" s="1323"/>
      <c r="AQ18" s="1323"/>
      <c r="AR18" s="1323"/>
      <c r="AS18" s="1323"/>
      <c r="AT18" s="1238"/>
      <c r="AU18" s="1276"/>
      <c r="AV18" s="1276"/>
      <c r="AW18" s="1276"/>
      <c r="AX18" s="1274"/>
      <c r="AY18" s="1302">
        <v>38016</v>
      </c>
      <c r="AZ18" s="1302">
        <v>49606</v>
      </c>
      <c r="BA18" s="1025">
        <v>-11590</v>
      </c>
      <c r="BB18" s="1056">
        <v>-0.23364109180341089</v>
      </c>
      <c r="BC18" s="1235"/>
      <c r="BD18" s="1451">
        <v>38016</v>
      </c>
      <c r="BE18" s="1447">
        <v>49606</v>
      </c>
      <c r="BF18" s="1447">
        <v>38484</v>
      </c>
      <c r="BG18" s="1447">
        <v>25287</v>
      </c>
      <c r="BH18" s="1447">
        <v>10492</v>
      </c>
      <c r="BI18" s="1447">
        <v>1228</v>
      </c>
      <c r="BJ18" s="1447">
        <f>'7 CG Other Foreign Loc'!BJ17</f>
        <v>5894</v>
      </c>
      <c r="BK18" s="1447">
        <f>'7 CG Other Foreign Loc'!BK17</f>
        <v>6781</v>
      </c>
      <c r="BL18" s="1447">
        <f>'7 CG Other Foreign Loc'!BL17</f>
        <v>9937</v>
      </c>
      <c r="BM18" s="1447">
        <f>'7 CG Other Foreign Loc'!BM17</f>
        <v>15897</v>
      </c>
      <c r="BN18" s="1054"/>
      <c r="BO18" s="1054"/>
      <c r="BP18" s="1054"/>
      <c r="BQ18" s="1226"/>
      <c r="BS18" s="1181"/>
      <c r="BT18" s="1181"/>
      <c r="BU18" s="1181"/>
      <c r="BV18" s="1181"/>
    </row>
    <row r="19" spans="1:74" ht="12.75" customHeight="1" x14ac:dyDescent="0.2">
      <c r="A19" s="971"/>
      <c r="B19" s="969"/>
      <c r="C19" s="1231">
        <v>-4437</v>
      </c>
      <c r="D19" s="1232">
        <v>-3.0592615575550729E-2</v>
      </c>
      <c r="E19" s="937"/>
      <c r="F19" s="1210">
        <v>0</v>
      </c>
      <c r="G19" s="1210">
        <v>0</v>
      </c>
      <c r="H19" s="1210">
        <v>0</v>
      </c>
      <c r="I19" s="1210">
        <v>140598</v>
      </c>
      <c r="J19" s="1238">
        <v>138579</v>
      </c>
      <c r="K19" s="1323">
        <v>122145</v>
      </c>
      <c r="L19" s="1323">
        <v>126511</v>
      </c>
      <c r="M19" s="1323">
        <v>145035</v>
      </c>
      <c r="N19" s="1238">
        <v>159379</v>
      </c>
      <c r="O19" s="1323">
        <v>103866</v>
      </c>
      <c r="P19" s="1323">
        <v>170615</v>
      </c>
      <c r="Q19" s="1286">
        <v>179245</v>
      </c>
      <c r="R19" s="1323">
        <v>186659</v>
      </c>
      <c r="S19" s="1323">
        <v>171234</v>
      </c>
      <c r="T19" s="1323">
        <v>126691</v>
      </c>
      <c r="U19" s="1286">
        <v>131206</v>
      </c>
      <c r="V19" s="1323">
        <v>153997</v>
      </c>
      <c r="W19" s="1323">
        <v>165625</v>
      </c>
      <c r="X19" s="1323">
        <v>120110</v>
      </c>
      <c r="Y19" s="1286">
        <v>101301</v>
      </c>
      <c r="Z19" s="1315">
        <v>113067</v>
      </c>
      <c r="AA19" s="1323">
        <v>93581</v>
      </c>
      <c r="AB19" s="1323">
        <v>69452</v>
      </c>
      <c r="AC19" s="1286">
        <v>97377</v>
      </c>
      <c r="AD19" s="1315">
        <v>163771</v>
      </c>
      <c r="AE19" s="1323">
        <v>177758</v>
      </c>
      <c r="AF19" s="1315">
        <v>96963</v>
      </c>
      <c r="AG19" s="1286">
        <v>99546</v>
      </c>
      <c r="AH19" s="1315">
        <v>83496</v>
      </c>
      <c r="AI19" s="1323">
        <v>116090</v>
      </c>
      <c r="AJ19" s="1315">
        <v>78475</v>
      </c>
      <c r="AK19" s="1286">
        <v>85497</v>
      </c>
      <c r="AL19" s="1323">
        <v>64972</v>
      </c>
      <c r="AM19" s="1323">
        <v>49250</v>
      </c>
      <c r="AN19" s="1323">
        <v>58336</v>
      </c>
      <c r="AO19" s="1276">
        <v>104793</v>
      </c>
      <c r="AP19" s="1315">
        <v>77965</v>
      </c>
      <c r="AQ19" s="1315">
        <v>109583</v>
      </c>
      <c r="AR19" s="1315">
        <v>89071</v>
      </c>
      <c r="AS19" s="1315">
        <v>155023</v>
      </c>
      <c r="AT19" s="1455">
        <v>130151</v>
      </c>
      <c r="AU19" s="1286">
        <v>101427</v>
      </c>
      <c r="AV19" s="1286">
        <v>93033</v>
      </c>
      <c r="AW19" s="1286">
        <v>125106</v>
      </c>
      <c r="AX19" s="1274"/>
      <c r="AY19" s="1302">
        <v>532270</v>
      </c>
      <c r="AZ19" s="1302">
        <v>613105</v>
      </c>
      <c r="BA19" s="1456">
        <v>-80835</v>
      </c>
      <c r="BB19" s="1232">
        <v>-0.13184527935671703</v>
      </c>
      <c r="BC19" s="1235"/>
      <c r="BD19" s="1552">
        <v>532270</v>
      </c>
      <c r="BE19" s="1457">
        <v>613105</v>
      </c>
      <c r="BF19" s="1457">
        <v>615790</v>
      </c>
      <c r="BG19" s="1457">
        <v>541033</v>
      </c>
      <c r="BH19" s="1457">
        <v>373477</v>
      </c>
      <c r="BI19" s="1457">
        <v>538644</v>
      </c>
      <c r="BJ19" s="1457" t="e">
        <f t="shared" ref="BJ19:BL19" si="0">SUM(BJ15:BJ18)</f>
        <v>#REF!</v>
      </c>
      <c r="BK19" s="1457" t="e">
        <f t="shared" si="0"/>
        <v>#REF!</v>
      </c>
      <c r="BL19" s="1457" t="e">
        <f t="shared" si="0"/>
        <v>#REF!</v>
      </c>
      <c r="BM19" s="1457">
        <v>449717</v>
      </c>
      <c r="BN19" s="1292">
        <v>333666</v>
      </c>
      <c r="BO19" s="1292">
        <v>239654</v>
      </c>
      <c r="BP19" s="1292">
        <v>211758</v>
      </c>
      <c r="BQ19" s="1226"/>
      <c r="BS19" s="1181"/>
      <c r="BT19" s="1181"/>
      <c r="BU19" s="1181"/>
      <c r="BV19" s="1181"/>
    </row>
    <row r="20" spans="1:74" ht="12.75" customHeight="1" x14ac:dyDescent="0.2">
      <c r="A20" s="970" t="s">
        <v>5</v>
      </c>
      <c r="B20" s="969"/>
      <c r="C20" s="979"/>
      <c r="D20" s="1056"/>
      <c r="E20" s="937"/>
      <c r="F20" s="1396"/>
      <c r="G20" s="1396"/>
      <c r="H20" s="1396"/>
      <c r="I20" s="1396"/>
      <c r="J20" s="1459"/>
      <c r="K20" s="1458"/>
      <c r="L20" s="1458"/>
      <c r="M20" s="1458"/>
      <c r="N20" s="1459"/>
      <c r="O20" s="1458"/>
      <c r="P20" s="1458"/>
      <c r="Q20" s="1276"/>
      <c r="R20" s="1458"/>
      <c r="S20" s="1458"/>
      <c r="T20" s="1458"/>
      <c r="U20" s="1276"/>
      <c r="V20" s="1458"/>
      <c r="W20" s="1458"/>
      <c r="X20" s="1458"/>
      <c r="Y20" s="1276"/>
      <c r="Z20" s="1275"/>
      <c r="AA20" s="1458"/>
      <c r="AB20" s="1458"/>
      <c r="AC20" s="1276"/>
      <c r="AD20" s="1275"/>
      <c r="AE20" s="1458"/>
      <c r="AF20" s="1275"/>
      <c r="AG20" s="1276"/>
      <c r="AH20" s="1275"/>
      <c r="AI20" s="1458"/>
      <c r="AJ20" s="1275"/>
      <c r="AK20" s="1276"/>
      <c r="AL20" s="1458"/>
      <c r="AM20" s="1458"/>
      <c r="AN20" s="1458"/>
      <c r="AO20" s="1453"/>
      <c r="AP20" s="1323"/>
      <c r="AQ20" s="1323"/>
      <c r="AR20" s="1323"/>
      <c r="AS20" s="1323"/>
      <c r="AT20" s="1238"/>
      <c r="AU20" s="1276"/>
      <c r="AV20" s="1276"/>
      <c r="AW20" s="1276"/>
      <c r="AX20" s="1274"/>
      <c r="AY20" s="1294"/>
      <c r="AZ20" s="1294"/>
      <c r="BA20" s="1025"/>
      <c r="BB20" s="1056"/>
      <c r="BC20" s="1235"/>
      <c r="BD20" s="1460"/>
      <c r="BE20" s="1460"/>
      <c r="BF20" s="1460"/>
      <c r="BG20" s="1460"/>
      <c r="BH20" s="1460"/>
      <c r="BI20" s="1460"/>
      <c r="BJ20" s="1460"/>
      <c r="BK20" s="1460"/>
      <c r="BL20" s="1447"/>
      <c r="BM20" s="1447"/>
      <c r="BN20" s="1054"/>
      <c r="BO20" s="1054"/>
      <c r="BP20" s="1054"/>
      <c r="BQ20" s="1226"/>
      <c r="BS20" s="1181"/>
      <c r="BT20" s="1181"/>
      <c r="BU20" s="1181"/>
      <c r="BV20" s="1181"/>
    </row>
    <row r="21" spans="1:74" ht="12.75" customHeight="1" x14ac:dyDescent="0.2">
      <c r="A21" s="970"/>
      <c r="B21" s="969" t="s">
        <v>304</v>
      </c>
      <c r="C21" s="979">
        <v>2099</v>
      </c>
      <c r="D21" s="1056">
        <v>3.0538460419303682E-2</v>
      </c>
      <c r="E21" s="937"/>
      <c r="F21" s="1190"/>
      <c r="G21" s="1190"/>
      <c r="H21" s="1190"/>
      <c r="I21" s="1190">
        <v>70832</v>
      </c>
      <c r="J21" s="1448">
        <v>75751</v>
      </c>
      <c r="K21" s="1275">
        <v>73141</v>
      </c>
      <c r="L21" s="1275">
        <v>59796</v>
      </c>
      <c r="M21" s="1275">
        <v>68733</v>
      </c>
      <c r="N21" s="1448">
        <v>83010</v>
      </c>
      <c r="O21" s="1275">
        <v>52836</v>
      </c>
      <c r="P21" s="1275">
        <v>80234</v>
      </c>
      <c r="Q21" s="1276">
        <v>83836</v>
      </c>
      <c r="R21" s="1275">
        <v>83812</v>
      </c>
      <c r="S21" s="1275">
        <v>78890</v>
      </c>
      <c r="T21" s="1275">
        <v>57661</v>
      </c>
      <c r="U21" s="1276">
        <v>54055</v>
      </c>
      <c r="V21" s="1275">
        <v>76337</v>
      </c>
      <c r="W21" s="1275">
        <v>76074</v>
      </c>
      <c r="X21" s="1275">
        <v>57422</v>
      </c>
      <c r="Y21" s="1276">
        <v>47123</v>
      </c>
      <c r="Z21" s="1275">
        <v>60386</v>
      </c>
      <c r="AA21" s="1275">
        <v>39742</v>
      </c>
      <c r="AB21" s="1275">
        <v>31911</v>
      </c>
      <c r="AC21" s="1276">
        <v>47297</v>
      </c>
      <c r="AD21" s="1275">
        <v>79647</v>
      </c>
      <c r="AE21" s="1275">
        <v>80361</v>
      </c>
      <c r="AF21" s="1276">
        <v>42653</v>
      </c>
      <c r="AG21" s="1276"/>
      <c r="AH21" s="1275"/>
      <c r="AI21" s="1275"/>
      <c r="AJ21" s="1275"/>
      <c r="AK21" s="1276"/>
      <c r="AL21" s="1275"/>
      <c r="AM21" s="1275"/>
      <c r="AN21" s="1275"/>
      <c r="AO21" s="1276"/>
      <c r="AP21" s="1323"/>
      <c r="AQ21" s="1323"/>
      <c r="AR21" s="1323"/>
      <c r="AS21" s="1323"/>
      <c r="AT21" s="1238"/>
      <c r="AU21" s="1276"/>
      <c r="AV21" s="1276"/>
      <c r="AW21" s="1276"/>
      <c r="AX21" s="1274"/>
      <c r="AY21" s="1294">
        <v>277421</v>
      </c>
      <c r="AZ21" s="1294">
        <v>299916</v>
      </c>
      <c r="BA21" s="1025">
        <v>-22495</v>
      </c>
      <c r="BB21" s="1056">
        <v>-7.5004334547006501E-2</v>
      </c>
      <c r="BC21" s="1235"/>
      <c r="BD21" s="1447">
        <v>277421</v>
      </c>
      <c r="BE21" s="1447">
        <v>299916</v>
      </c>
      <c r="BF21" s="1447">
        <v>274418</v>
      </c>
      <c r="BG21" s="1447">
        <v>256956</v>
      </c>
      <c r="BH21" s="1447">
        <v>179336</v>
      </c>
      <c r="BI21" s="1447">
        <v>247207</v>
      </c>
      <c r="BJ21" s="1447">
        <v>184644</v>
      </c>
      <c r="BK21" s="1447">
        <v>135129</v>
      </c>
      <c r="BL21" s="1447">
        <v>213579</v>
      </c>
      <c r="BM21" s="1447"/>
      <c r="BN21" s="1054"/>
      <c r="BO21" s="1054"/>
      <c r="BP21" s="1054"/>
      <c r="BQ21" s="1226"/>
      <c r="BS21" s="1181"/>
      <c r="BT21" s="1181"/>
      <c r="BU21" s="1181"/>
      <c r="BV21" s="1181"/>
    </row>
    <row r="22" spans="1:74" ht="12.75" customHeight="1" x14ac:dyDescent="0.2">
      <c r="A22" s="970"/>
      <c r="B22" s="969" t="s">
        <v>305</v>
      </c>
      <c r="C22" s="1233">
        <v>-24</v>
      </c>
      <c r="D22" s="1234">
        <v>-3.0441400304414001E-3</v>
      </c>
      <c r="E22" s="1205"/>
      <c r="F22" s="1197"/>
      <c r="G22" s="1197"/>
      <c r="H22" s="1197"/>
      <c r="I22" s="1197">
        <v>7860</v>
      </c>
      <c r="J22" s="1454">
        <v>8178</v>
      </c>
      <c r="K22" s="1298">
        <v>6943</v>
      </c>
      <c r="L22" s="1298">
        <v>7062</v>
      </c>
      <c r="M22" s="1298">
        <v>7884</v>
      </c>
      <c r="N22" s="1454">
        <v>9583</v>
      </c>
      <c r="O22" s="1298">
        <v>8839</v>
      </c>
      <c r="P22" s="1298">
        <v>8443</v>
      </c>
      <c r="Q22" s="1299">
        <v>8735</v>
      </c>
      <c r="R22" s="1298">
        <v>8058</v>
      </c>
      <c r="S22" s="1298">
        <v>8960</v>
      </c>
      <c r="T22" s="1298">
        <v>6978</v>
      </c>
      <c r="U22" s="1299">
        <v>8282</v>
      </c>
      <c r="V22" s="1298">
        <v>7927</v>
      </c>
      <c r="W22" s="1298">
        <v>7510</v>
      </c>
      <c r="X22" s="1298">
        <v>9158</v>
      </c>
      <c r="Y22" s="1299">
        <v>11039</v>
      </c>
      <c r="Z22" s="1298">
        <v>5755</v>
      </c>
      <c r="AA22" s="1298">
        <v>5491</v>
      </c>
      <c r="AB22" s="1298">
        <v>4965</v>
      </c>
      <c r="AC22" s="1299">
        <v>-1142</v>
      </c>
      <c r="AD22" s="1298">
        <v>-3795</v>
      </c>
      <c r="AE22" s="1298">
        <v>2682</v>
      </c>
      <c r="AF22" s="1299">
        <v>3602</v>
      </c>
      <c r="AG22" s="1276"/>
      <c r="AH22" s="1275"/>
      <c r="AI22" s="1275"/>
      <c r="AJ22" s="1275"/>
      <c r="AK22" s="1276"/>
      <c r="AL22" s="1275"/>
      <c r="AM22" s="1275"/>
      <c r="AN22" s="1275"/>
      <c r="AO22" s="1276"/>
      <c r="AP22" s="1323"/>
      <c r="AQ22" s="1323"/>
      <c r="AR22" s="1323"/>
      <c r="AS22" s="1323"/>
      <c r="AT22" s="1238"/>
      <c r="AU22" s="1276"/>
      <c r="AV22" s="1276"/>
      <c r="AW22" s="1276"/>
      <c r="AX22" s="1274"/>
      <c r="AY22" s="1302">
        <v>30067</v>
      </c>
      <c r="AZ22" s="1302">
        <v>35600</v>
      </c>
      <c r="BA22" s="1375">
        <v>-5533</v>
      </c>
      <c r="BB22" s="1234">
        <v>-0.15542134831460674</v>
      </c>
      <c r="BC22" s="1235"/>
      <c r="BD22" s="1451">
        <v>30067</v>
      </c>
      <c r="BE22" s="1451">
        <v>35600</v>
      </c>
      <c r="BF22" s="1451">
        <v>32278</v>
      </c>
      <c r="BG22" s="1451">
        <v>35634</v>
      </c>
      <c r="BH22" s="1451">
        <v>15069</v>
      </c>
      <c r="BI22" s="1451">
        <v>4113</v>
      </c>
      <c r="BJ22" s="1451">
        <v>10560</v>
      </c>
      <c r="BK22" s="1451">
        <v>6465</v>
      </c>
      <c r="BL22" s="1451">
        <v>3157</v>
      </c>
      <c r="BM22" s="1447"/>
      <c r="BN22" s="1054"/>
      <c r="BO22" s="1054"/>
      <c r="BP22" s="1054"/>
      <c r="BQ22" s="1226"/>
      <c r="BS22" s="1181"/>
      <c r="BT22" s="1181"/>
      <c r="BU22" s="1181"/>
      <c r="BV22" s="1181"/>
    </row>
    <row r="23" spans="1:74" ht="12.75" customHeight="1" x14ac:dyDescent="0.2">
      <c r="A23" s="971"/>
      <c r="B23" s="1228" t="s">
        <v>209</v>
      </c>
      <c r="C23" s="979">
        <v>2075</v>
      </c>
      <c r="D23" s="1056">
        <v>2.7082762311236408E-2</v>
      </c>
      <c r="E23" s="937"/>
      <c r="F23" s="1190">
        <v>0</v>
      </c>
      <c r="G23" s="1190">
        <v>0</v>
      </c>
      <c r="H23" s="1190">
        <v>0</v>
      </c>
      <c r="I23" s="1190">
        <v>78692</v>
      </c>
      <c r="J23" s="1448">
        <v>83929</v>
      </c>
      <c r="K23" s="1275">
        <v>80084</v>
      </c>
      <c r="L23" s="1275">
        <v>66858</v>
      </c>
      <c r="M23" s="1275">
        <v>76617</v>
      </c>
      <c r="N23" s="1448">
        <v>92593</v>
      </c>
      <c r="O23" s="1275">
        <v>61675</v>
      </c>
      <c r="P23" s="1275">
        <v>88677</v>
      </c>
      <c r="Q23" s="1306">
        <v>92571</v>
      </c>
      <c r="R23" s="1275">
        <v>91870</v>
      </c>
      <c r="S23" s="1275">
        <v>87850</v>
      </c>
      <c r="T23" s="1275">
        <v>64639</v>
      </c>
      <c r="U23" s="1276">
        <v>62337</v>
      </c>
      <c r="V23" s="1275">
        <v>84264</v>
      </c>
      <c r="W23" s="1275">
        <v>83584</v>
      </c>
      <c r="X23" s="1275">
        <v>66580</v>
      </c>
      <c r="Y23" s="1276">
        <v>58162</v>
      </c>
      <c r="Z23" s="1275">
        <v>66141</v>
      </c>
      <c r="AA23" s="1275">
        <v>45233</v>
      </c>
      <c r="AB23" s="1275">
        <v>36876</v>
      </c>
      <c r="AC23" s="1276">
        <v>46155</v>
      </c>
      <c r="AD23" s="1275">
        <v>75852</v>
      </c>
      <c r="AE23" s="1275">
        <v>83043</v>
      </c>
      <c r="AF23" s="1275">
        <v>46255</v>
      </c>
      <c r="AG23" s="1276">
        <v>46170</v>
      </c>
      <c r="AH23" s="1275">
        <v>43645</v>
      </c>
      <c r="AI23" s="1275">
        <v>63567</v>
      </c>
      <c r="AJ23" s="1275">
        <v>42761</v>
      </c>
      <c r="AK23" s="1276">
        <v>45231</v>
      </c>
      <c r="AL23" s="1275">
        <v>30210</v>
      </c>
      <c r="AM23" s="1275">
        <v>28857</v>
      </c>
      <c r="AN23" s="1275">
        <v>29998</v>
      </c>
      <c r="AO23" s="1276">
        <v>52529</v>
      </c>
      <c r="AP23" s="1323">
        <v>40395</v>
      </c>
      <c r="AQ23" s="1323">
        <v>57933</v>
      </c>
      <c r="AR23" s="1323">
        <v>42205</v>
      </c>
      <c r="AS23" s="1323">
        <v>76203</v>
      </c>
      <c r="AT23" s="1238">
        <v>70783</v>
      </c>
      <c r="AU23" s="1276">
        <v>51546</v>
      </c>
      <c r="AV23" s="1276">
        <v>45305</v>
      </c>
      <c r="AW23" s="1276">
        <v>65948</v>
      </c>
      <c r="AX23" s="1055"/>
      <c r="AY23" s="1322">
        <v>307488</v>
      </c>
      <c r="AZ23" s="1294">
        <v>335516</v>
      </c>
      <c r="BA23" s="1025">
        <v>-28028</v>
      </c>
      <c r="BB23" s="1056">
        <v>-8.3536999725795494E-2</v>
      </c>
      <c r="BC23" s="1235"/>
      <c r="BD23" s="1314">
        <v>307488</v>
      </c>
      <c r="BE23" s="1447">
        <v>335516</v>
      </c>
      <c r="BF23" s="1447">
        <v>306696</v>
      </c>
      <c r="BG23" s="1447">
        <v>292590</v>
      </c>
      <c r="BH23" s="1447">
        <v>194405</v>
      </c>
      <c r="BI23" s="1447">
        <v>251320</v>
      </c>
      <c r="BJ23" s="1447">
        <v>195204</v>
      </c>
      <c r="BK23" s="1447">
        <v>141594</v>
      </c>
      <c r="BL23" s="1447">
        <v>216736</v>
      </c>
      <c r="BM23" s="1447">
        <v>233582</v>
      </c>
      <c r="BN23" s="1054">
        <v>175604</v>
      </c>
      <c r="BO23" s="1054">
        <v>125030</v>
      </c>
      <c r="BP23" s="1054">
        <v>120298</v>
      </c>
      <c r="BQ23" s="1226"/>
      <c r="BS23" s="1181"/>
      <c r="BT23" s="1181"/>
      <c r="BU23" s="1181"/>
      <c r="BV23" s="1181"/>
    </row>
    <row r="24" spans="1:74" x14ac:dyDescent="0.2">
      <c r="A24" s="971"/>
      <c r="B24" s="1228" t="s">
        <v>66</v>
      </c>
      <c r="C24" s="979">
        <v>147</v>
      </c>
      <c r="D24" s="1056">
        <v>2.3073300894679013E-2</v>
      </c>
      <c r="E24" s="937"/>
      <c r="F24" s="1190"/>
      <c r="G24" s="1190"/>
      <c r="H24" s="1190"/>
      <c r="I24" s="1190">
        <v>6518</v>
      </c>
      <c r="J24" s="1448">
        <v>7797</v>
      </c>
      <c r="K24" s="1275">
        <v>7513</v>
      </c>
      <c r="L24" s="1275">
        <v>6844</v>
      </c>
      <c r="M24" s="1275">
        <v>6371</v>
      </c>
      <c r="N24" s="1448">
        <v>6541</v>
      </c>
      <c r="O24" s="1275">
        <v>6157</v>
      </c>
      <c r="P24" s="1275">
        <v>6025</v>
      </c>
      <c r="Q24" s="1276">
        <v>6930</v>
      </c>
      <c r="R24" s="1275">
        <v>9132</v>
      </c>
      <c r="S24" s="1275">
        <v>8127</v>
      </c>
      <c r="T24" s="1275">
        <v>8594</v>
      </c>
      <c r="U24" s="1276">
        <v>8936</v>
      </c>
      <c r="V24" s="1275">
        <v>9480</v>
      </c>
      <c r="W24" s="1275">
        <v>8280</v>
      </c>
      <c r="X24" s="1275">
        <v>8670</v>
      </c>
      <c r="Y24" s="1276">
        <v>8811</v>
      </c>
      <c r="Z24" s="1275">
        <v>4982</v>
      </c>
      <c r="AA24" s="1275">
        <v>4241</v>
      </c>
      <c r="AB24" s="1275">
        <v>3382</v>
      </c>
      <c r="AC24" s="1276">
        <v>5211</v>
      </c>
      <c r="AD24" s="1275">
        <v>4311</v>
      </c>
      <c r="AE24" s="1275">
        <v>3896</v>
      </c>
      <c r="AF24" s="1275">
        <v>4154</v>
      </c>
      <c r="AG24" s="1276">
        <v>4021</v>
      </c>
      <c r="AH24" s="1275">
        <v>4088</v>
      </c>
      <c r="AI24" s="1275">
        <v>4441</v>
      </c>
      <c r="AJ24" s="1275">
        <v>3376</v>
      </c>
      <c r="AK24" s="1276">
        <v>3404</v>
      </c>
      <c r="AL24" s="1275">
        <v>3513</v>
      </c>
      <c r="AM24" s="1275">
        <v>3413</v>
      </c>
      <c r="AN24" s="1275">
        <v>3919</v>
      </c>
      <c r="AO24" s="1276">
        <v>4223</v>
      </c>
      <c r="AP24" s="1323">
        <v>3306</v>
      </c>
      <c r="AQ24" s="1323">
        <v>3275</v>
      </c>
      <c r="AR24" s="1323">
        <v>3194</v>
      </c>
      <c r="AS24" s="1323">
        <v>4019</v>
      </c>
      <c r="AT24" s="1238">
        <v>2619</v>
      </c>
      <c r="AU24" s="1276">
        <v>3158</v>
      </c>
      <c r="AV24" s="1276">
        <v>2228</v>
      </c>
      <c r="AW24" s="1276">
        <v>3188</v>
      </c>
      <c r="AX24" s="1055"/>
      <c r="AY24" s="1322">
        <v>28525</v>
      </c>
      <c r="AZ24" s="1294">
        <v>25653</v>
      </c>
      <c r="BA24" s="1025">
        <v>2872</v>
      </c>
      <c r="BB24" s="1056">
        <v>0.11195571668031029</v>
      </c>
      <c r="BC24" s="1235"/>
      <c r="BD24" s="1447">
        <v>28525</v>
      </c>
      <c r="BE24" s="1447">
        <v>25653</v>
      </c>
      <c r="BF24" s="1447">
        <v>34789</v>
      </c>
      <c r="BG24" s="1447">
        <v>35241</v>
      </c>
      <c r="BH24" s="1447">
        <v>17816</v>
      </c>
      <c r="BI24" s="1447">
        <v>16382</v>
      </c>
      <c r="BJ24" s="1447">
        <v>15309</v>
      </c>
      <c r="BK24" s="1447">
        <v>15068</v>
      </c>
      <c r="BL24" s="1447">
        <v>13794</v>
      </c>
      <c r="BM24" s="1447">
        <v>11193</v>
      </c>
      <c r="BN24" s="1054">
        <v>8435</v>
      </c>
      <c r="BO24" s="1054">
        <v>16577</v>
      </c>
      <c r="BP24" s="1054">
        <v>12517</v>
      </c>
      <c r="BQ24" s="1226"/>
      <c r="BS24" s="1181"/>
      <c r="BT24" s="1181"/>
      <c r="BU24" s="1181"/>
      <c r="BV24" s="1181"/>
    </row>
    <row r="25" spans="1:74" x14ac:dyDescent="0.2">
      <c r="A25" s="971"/>
      <c r="B25" s="1228" t="s">
        <v>92</v>
      </c>
      <c r="C25" s="979">
        <v>-260</v>
      </c>
      <c r="D25" s="1056">
        <v>-2.2172949002217297E-2</v>
      </c>
      <c r="E25" s="937"/>
      <c r="F25" s="1190"/>
      <c r="G25" s="1190"/>
      <c r="H25" s="1190"/>
      <c r="I25" s="1190">
        <v>11466</v>
      </c>
      <c r="J25" s="1448">
        <v>11858</v>
      </c>
      <c r="K25" s="1275">
        <v>13091</v>
      </c>
      <c r="L25" s="1275">
        <v>11966</v>
      </c>
      <c r="M25" s="1275">
        <v>11726</v>
      </c>
      <c r="N25" s="1448">
        <v>12775</v>
      </c>
      <c r="O25" s="1275">
        <v>13150</v>
      </c>
      <c r="P25" s="1275">
        <v>11493</v>
      </c>
      <c r="Q25" s="1276">
        <v>11625</v>
      </c>
      <c r="R25" s="1275">
        <v>12769</v>
      </c>
      <c r="S25" s="1275">
        <v>10340</v>
      </c>
      <c r="T25" s="1275">
        <v>9282</v>
      </c>
      <c r="U25" s="1276">
        <v>10867</v>
      </c>
      <c r="V25" s="1275">
        <v>7759</v>
      </c>
      <c r="W25" s="1275">
        <v>7327</v>
      </c>
      <c r="X25" s="1275">
        <v>7721</v>
      </c>
      <c r="Y25" s="1276">
        <v>9845</v>
      </c>
      <c r="Z25" s="1275">
        <v>4179</v>
      </c>
      <c r="AA25" s="1275">
        <v>5248</v>
      </c>
      <c r="AB25" s="1275">
        <v>5688</v>
      </c>
      <c r="AC25" s="1276">
        <v>6329</v>
      </c>
      <c r="AD25" s="1275">
        <v>5831</v>
      </c>
      <c r="AE25" s="1275">
        <v>5595</v>
      </c>
      <c r="AF25" s="1275">
        <v>5128</v>
      </c>
      <c r="AG25" s="1276">
        <v>4885</v>
      </c>
      <c r="AH25" s="1275">
        <v>4483</v>
      </c>
      <c r="AI25" s="1275">
        <v>4661</v>
      </c>
      <c r="AJ25" s="1275">
        <v>4275</v>
      </c>
      <c r="AK25" s="1276">
        <v>4870</v>
      </c>
      <c r="AL25" s="1275">
        <v>4618</v>
      </c>
      <c r="AM25" s="1275">
        <v>4587</v>
      </c>
      <c r="AN25" s="1275">
        <v>5118</v>
      </c>
      <c r="AO25" s="1276">
        <v>4540</v>
      </c>
      <c r="AP25" s="1323">
        <v>4027</v>
      </c>
      <c r="AQ25" s="1323">
        <v>4655</v>
      </c>
      <c r="AR25" s="1323">
        <v>4906</v>
      </c>
      <c r="AS25" s="1323">
        <v>4441</v>
      </c>
      <c r="AT25" s="1238">
        <v>4178</v>
      </c>
      <c r="AU25" s="1276">
        <v>3700</v>
      </c>
      <c r="AV25" s="1276">
        <v>3796</v>
      </c>
      <c r="AW25" s="1276">
        <v>5308</v>
      </c>
      <c r="AX25" s="1055"/>
      <c r="AY25" s="1322">
        <v>48641</v>
      </c>
      <c r="AZ25" s="1294">
        <v>49043</v>
      </c>
      <c r="BA25" s="1025">
        <v>-402</v>
      </c>
      <c r="BB25" s="1056">
        <v>-8.1968884448341255E-3</v>
      </c>
      <c r="BC25" s="1235"/>
      <c r="BD25" s="1447">
        <v>48641</v>
      </c>
      <c r="BE25" s="1447">
        <v>49043</v>
      </c>
      <c r="BF25" s="1447">
        <v>43258</v>
      </c>
      <c r="BG25" s="1447">
        <v>32652</v>
      </c>
      <c r="BH25" s="1447">
        <v>21444</v>
      </c>
      <c r="BI25" s="1447">
        <v>21439</v>
      </c>
      <c r="BJ25" s="1447">
        <v>18289</v>
      </c>
      <c r="BK25" s="1447">
        <v>18863</v>
      </c>
      <c r="BL25" s="1447">
        <v>18029</v>
      </c>
      <c r="BM25" s="1447">
        <v>16982</v>
      </c>
      <c r="BN25" s="1054">
        <v>10095</v>
      </c>
      <c r="BO25" s="1054">
        <v>6951</v>
      </c>
      <c r="BP25" s="1054">
        <v>3440</v>
      </c>
      <c r="BQ25" s="1226"/>
      <c r="BS25" s="1181"/>
      <c r="BT25" s="1181"/>
      <c r="BU25" s="1181"/>
      <c r="BV25" s="1181"/>
    </row>
    <row r="26" spans="1:74" ht="12.75" customHeight="1" x14ac:dyDescent="0.2">
      <c r="A26" s="971"/>
      <c r="B26" s="1228" t="s">
        <v>68</v>
      </c>
      <c r="C26" s="979">
        <v>-594</v>
      </c>
      <c r="D26" s="1056">
        <v>-9.1230225771770854E-2</v>
      </c>
      <c r="E26" s="937"/>
      <c r="F26" s="1190"/>
      <c r="G26" s="1190"/>
      <c r="H26" s="1190"/>
      <c r="I26" s="1190">
        <v>5917</v>
      </c>
      <c r="J26" s="1448">
        <v>6668</v>
      </c>
      <c r="K26" s="1275">
        <v>6302</v>
      </c>
      <c r="L26" s="1275">
        <v>6530</v>
      </c>
      <c r="M26" s="1275">
        <v>6511</v>
      </c>
      <c r="N26" s="1448">
        <v>6444</v>
      </c>
      <c r="O26" s="1275">
        <v>5892</v>
      </c>
      <c r="P26" s="1275">
        <v>6412</v>
      </c>
      <c r="Q26" s="1276">
        <v>6242</v>
      </c>
      <c r="R26" s="1275">
        <v>5481</v>
      </c>
      <c r="S26" s="1275">
        <v>6522</v>
      </c>
      <c r="T26" s="1275">
        <v>6395</v>
      </c>
      <c r="U26" s="1276">
        <v>5748</v>
      </c>
      <c r="V26" s="1275">
        <v>6541</v>
      </c>
      <c r="W26" s="1275">
        <v>6285</v>
      </c>
      <c r="X26" s="1275">
        <v>7195</v>
      </c>
      <c r="Y26" s="1276">
        <v>7029</v>
      </c>
      <c r="Z26" s="1275">
        <v>4122</v>
      </c>
      <c r="AA26" s="1275">
        <v>3512</v>
      </c>
      <c r="AB26" s="1275">
        <v>3993</v>
      </c>
      <c r="AC26" s="1276">
        <v>3109</v>
      </c>
      <c r="AD26" s="1275">
        <v>3422</v>
      </c>
      <c r="AE26" s="1275">
        <v>3417</v>
      </c>
      <c r="AF26" s="1275">
        <v>2947</v>
      </c>
      <c r="AG26" s="1276">
        <v>2602</v>
      </c>
      <c r="AH26" s="1275">
        <v>2882</v>
      </c>
      <c r="AI26" s="1275">
        <v>2984</v>
      </c>
      <c r="AJ26" s="1275">
        <v>2972</v>
      </c>
      <c r="AK26" s="1276">
        <v>2884</v>
      </c>
      <c r="AL26" s="1275">
        <v>3106</v>
      </c>
      <c r="AM26" s="1275">
        <v>3322</v>
      </c>
      <c r="AN26" s="1275">
        <v>3104</v>
      </c>
      <c r="AO26" s="1276">
        <v>2868</v>
      </c>
      <c r="AP26" s="1323">
        <v>3067</v>
      </c>
      <c r="AQ26" s="1323">
        <v>3011</v>
      </c>
      <c r="AR26" s="1323">
        <v>2910</v>
      </c>
      <c r="AS26" s="1323">
        <v>2613</v>
      </c>
      <c r="AT26" s="1238">
        <v>5054</v>
      </c>
      <c r="AU26" s="1276">
        <v>3183</v>
      </c>
      <c r="AV26" s="1276">
        <v>2884</v>
      </c>
      <c r="AW26" s="1276">
        <v>3008</v>
      </c>
      <c r="AX26" s="1055"/>
      <c r="AY26" s="1322">
        <v>26011</v>
      </c>
      <c r="AZ26" s="1294">
        <v>24990</v>
      </c>
      <c r="BA26" s="1025">
        <v>1021</v>
      </c>
      <c r="BB26" s="1056">
        <v>4.0856342537014805E-2</v>
      </c>
      <c r="BC26" s="1235"/>
      <c r="BD26" s="1447">
        <v>26011</v>
      </c>
      <c r="BE26" s="1447">
        <v>24990</v>
      </c>
      <c r="BF26" s="1447">
        <v>24146</v>
      </c>
      <c r="BG26" s="1447">
        <v>27050</v>
      </c>
      <c r="BH26" s="1447">
        <v>14736</v>
      </c>
      <c r="BI26" s="1447">
        <v>12388</v>
      </c>
      <c r="BJ26" s="1447">
        <v>11722</v>
      </c>
      <c r="BK26" s="1447">
        <v>12400</v>
      </c>
      <c r="BL26" s="1447">
        <v>11601</v>
      </c>
      <c r="BM26" s="1447">
        <v>14129</v>
      </c>
      <c r="BN26" s="1054">
        <v>5886</v>
      </c>
      <c r="BO26" s="1054">
        <v>3980</v>
      </c>
      <c r="BP26" s="1054">
        <v>4236</v>
      </c>
      <c r="BQ26" s="1226"/>
      <c r="BS26" s="1181"/>
      <c r="BT26" s="1181"/>
      <c r="BU26" s="1181"/>
      <c r="BV26" s="1181"/>
    </row>
    <row r="27" spans="1:74" ht="12.75" customHeight="1" x14ac:dyDescent="0.2">
      <c r="A27" s="971"/>
      <c r="B27" s="1228" t="s">
        <v>69</v>
      </c>
      <c r="C27" s="979">
        <v>-836</v>
      </c>
      <c r="D27" s="1056">
        <v>-9.02125822812129E-2</v>
      </c>
      <c r="E27" s="937"/>
      <c r="F27" s="1190"/>
      <c r="G27" s="1190"/>
      <c r="H27" s="1190"/>
      <c r="I27" s="1190">
        <v>8431</v>
      </c>
      <c r="J27" s="1448">
        <v>9281</v>
      </c>
      <c r="K27" s="1275">
        <v>9491</v>
      </c>
      <c r="L27" s="1275">
        <v>9711</v>
      </c>
      <c r="M27" s="1275">
        <v>9267</v>
      </c>
      <c r="N27" s="1448">
        <v>9932</v>
      </c>
      <c r="O27" s="1275">
        <v>8508</v>
      </c>
      <c r="P27" s="1275">
        <v>8705</v>
      </c>
      <c r="Q27" s="1276">
        <v>7655</v>
      </c>
      <c r="R27" s="1275">
        <v>7451</v>
      </c>
      <c r="S27" s="1275">
        <v>7928</v>
      </c>
      <c r="T27" s="1275">
        <v>7100</v>
      </c>
      <c r="U27" s="1276">
        <v>6850</v>
      </c>
      <c r="V27" s="1275">
        <v>7177</v>
      </c>
      <c r="W27" s="1275">
        <v>8207</v>
      </c>
      <c r="X27" s="1275">
        <v>7393</v>
      </c>
      <c r="Y27" s="1276">
        <v>10194</v>
      </c>
      <c r="Z27" s="1275">
        <v>5670</v>
      </c>
      <c r="AA27" s="1275">
        <v>4181</v>
      </c>
      <c r="AB27" s="1275">
        <v>4209</v>
      </c>
      <c r="AC27" s="1276">
        <v>3961</v>
      </c>
      <c r="AD27" s="1275">
        <v>3886</v>
      </c>
      <c r="AE27" s="1275">
        <v>4023</v>
      </c>
      <c r="AF27" s="1275">
        <v>4197</v>
      </c>
      <c r="AG27" s="1276">
        <v>3871</v>
      </c>
      <c r="AH27" s="1275">
        <v>2772</v>
      </c>
      <c r="AI27" s="1275">
        <v>3006</v>
      </c>
      <c r="AJ27" s="1275">
        <v>2611</v>
      </c>
      <c r="AK27" s="1276">
        <v>2780</v>
      </c>
      <c r="AL27" s="1275">
        <v>3352</v>
      </c>
      <c r="AM27" s="1275">
        <v>3136</v>
      </c>
      <c r="AN27" s="1275">
        <v>3803</v>
      </c>
      <c r="AO27" s="1276">
        <v>3278</v>
      </c>
      <c r="AP27" s="1323">
        <v>3325</v>
      </c>
      <c r="AQ27" s="1323">
        <v>3063</v>
      </c>
      <c r="AR27" s="1323">
        <v>2962</v>
      </c>
      <c r="AS27" s="1323">
        <v>2879</v>
      </c>
      <c r="AT27" s="1238">
        <v>2804</v>
      </c>
      <c r="AU27" s="1276">
        <v>2586</v>
      </c>
      <c r="AV27" s="1276">
        <v>2530</v>
      </c>
      <c r="AW27" s="1276">
        <v>2427</v>
      </c>
      <c r="AX27" s="1055"/>
      <c r="AY27" s="1322">
        <v>37750</v>
      </c>
      <c r="AZ27" s="1294">
        <v>34800</v>
      </c>
      <c r="BA27" s="1025">
        <v>2950</v>
      </c>
      <c r="BB27" s="1056">
        <v>8.4770114942528729E-2</v>
      </c>
      <c r="BC27" s="1235"/>
      <c r="BD27" s="1447">
        <v>37750</v>
      </c>
      <c r="BE27" s="1447">
        <v>34800</v>
      </c>
      <c r="BF27" s="1447">
        <v>29329</v>
      </c>
      <c r="BG27" s="1447">
        <v>32971</v>
      </c>
      <c r="BH27" s="1447">
        <v>18021</v>
      </c>
      <c r="BI27" s="1447">
        <v>15977</v>
      </c>
      <c r="BJ27" s="1447">
        <v>11169</v>
      </c>
      <c r="BK27" s="1447">
        <v>13569</v>
      </c>
      <c r="BL27" s="1447">
        <v>12229</v>
      </c>
      <c r="BM27" s="1447">
        <v>10347</v>
      </c>
      <c r="BN27" s="1054">
        <v>6727</v>
      </c>
      <c r="BO27" s="1054">
        <v>5252</v>
      </c>
      <c r="BP27" s="1054">
        <v>4205</v>
      </c>
      <c r="BQ27" s="1226"/>
      <c r="BS27" s="1181"/>
      <c r="BT27" s="1181"/>
      <c r="BU27" s="1181"/>
      <c r="BV27" s="1181"/>
    </row>
    <row r="28" spans="1:74" ht="12.75" customHeight="1" x14ac:dyDescent="0.2">
      <c r="A28" s="971"/>
      <c r="B28" s="1228" t="s">
        <v>64</v>
      </c>
      <c r="C28" s="979">
        <v>175</v>
      </c>
      <c r="D28" s="1056">
        <v>6.1039414021625389E-2</v>
      </c>
      <c r="E28" s="937"/>
      <c r="F28" s="1190"/>
      <c r="G28" s="1190"/>
      <c r="H28" s="1190"/>
      <c r="I28" s="1190">
        <v>3042</v>
      </c>
      <c r="J28" s="1448">
        <v>1736</v>
      </c>
      <c r="K28" s="1275">
        <v>2056</v>
      </c>
      <c r="L28" s="1275">
        <v>1883</v>
      </c>
      <c r="M28" s="1275">
        <v>2867</v>
      </c>
      <c r="N28" s="1448">
        <v>2464</v>
      </c>
      <c r="O28" s="1275">
        <v>2755</v>
      </c>
      <c r="P28" s="1275">
        <v>2507</v>
      </c>
      <c r="Q28" s="1276">
        <v>3741</v>
      </c>
      <c r="R28" s="1275">
        <v>3280</v>
      </c>
      <c r="S28" s="1275">
        <v>3189</v>
      </c>
      <c r="T28" s="1275">
        <v>3565</v>
      </c>
      <c r="U28" s="1276">
        <v>4132</v>
      </c>
      <c r="V28" s="1275">
        <v>2908</v>
      </c>
      <c r="W28" s="1275">
        <v>3511</v>
      </c>
      <c r="X28" s="1275">
        <v>2864</v>
      </c>
      <c r="Y28" s="1276">
        <v>3917</v>
      </c>
      <c r="Z28" s="1275">
        <v>2645</v>
      </c>
      <c r="AA28" s="1275">
        <v>1918</v>
      </c>
      <c r="AB28" s="1275">
        <v>1514</v>
      </c>
      <c r="AC28" s="1276">
        <v>1908</v>
      </c>
      <c r="AD28" s="1275">
        <v>1968</v>
      </c>
      <c r="AE28" s="1275">
        <v>2549</v>
      </c>
      <c r="AF28" s="1275">
        <v>1249</v>
      </c>
      <c r="AG28" s="1276">
        <v>202</v>
      </c>
      <c r="AH28" s="1275">
        <v>232</v>
      </c>
      <c r="AI28" s="1275">
        <v>290</v>
      </c>
      <c r="AJ28" s="1275">
        <v>66</v>
      </c>
      <c r="AK28" s="1276">
        <v>160</v>
      </c>
      <c r="AL28" s="1275">
        <v>261</v>
      </c>
      <c r="AM28" s="1275">
        <v>272</v>
      </c>
      <c r="AN28" s="1275">
        <v>357</v>
      </c>
      <c r="AO28" s="1276">
        <v>482</v>
      </c>
      <c r="AP28" s="1323">
        <v>722</v>
      </c>
      <c r="AQ28" s="1323">
        <v>738</v>
      </c>
      <c r="AR28" s="1323">
        <v>353</v>
      </c>
      <c r="AS28" s="1323">
        <v>594</v>
      </c>
      <c r="AT28" s="1238">
        <v>617</v>
      </c>
      <c r="AU28" s="1276">
        <v>520</v>
      </c>
      <c r="AV28" s="1276">
        <v>889</v>
      </c>
      <c r="AW28" s="1276">
        <v>691</v>
      </c>
      <c r="AX28" s="1055"/>
      <c r="AY28" s="1322">
        <v>8542</v>
      </c>
      <c r="AZ28" s="1294">
        <v>11467</v>
      </c>
      <c r="BA28" s="1025">
        <v>-2925</v>
      </c>
      <c r="BB28" s="1056">
        <v>-0.25507979419202931</v>
      </c>
      <c r="BC28" s="1235"/>
      <c r="BD28" s="1447">
        <v>8542</v>
      </c>
      <c r="BE28" s="1447">
        <v>11467</v>
      </c>
      <c r="BF28" s="1447">
        <v>14166</v>
      </c>
      <c r="BG28" s="1447">
        <v>13200</v>
      </c>
      <c r="BH28" s="1447">
        <v>7985</v>
      </c>
      <c r="BI28" s="1447">
        <v>5968</v>
      </c>
      <c r="BJ28" s="1447">
        <v>748</v>
      </c>
      <c r="BK28" s="1447">
        <v>1372</v>
      </c>
      <c r="BL28" s="1447">
        <v>2407</v>
      </c>
      <c r="BM28" s="1447">
        <v>2717</v>
      </c>
      <c r="BN28" s="1054">
        <v>1789</v>
      </c>
      <c r="BO28" s="1054">
        <v>611</v>
      </c>
      <c r="BP28" s="1054">
        <v>35</v>
      </c>
      <c r="BQ28" s="1226"/>
      <c r="BS28" s="1181"/>
      <c r="BT28" s="1181"/>
      <c r="BU28" s="1181"/>
      <c r="BV28" s="1181"/>
    </row>
    <row r="29" spans="1:74" ht="12.75" customHeight="1" x14ac:dyDescent="0.2">
      <c r="A29" s="971"/>
      <c r="B29" s="1228" t="s">
        <v>70</v>
      </c>
      <c r="C29" s="979">
        <v>-1041</v>
      </c>
      <c r="D29" s="1056">
        <v>-7.8394457413961893E-2</v>
      </c>
      <c r="E29" s="937"/>
      <c r="F29" s="1190"/>
      <c r="G29" s="1190"/>
      <c r="H29" s="1190"/>
      <c r="I29" s="1190">
        <v>12238</v>
      </c>
      <c r="J29" s="1448">
        <v>10186</v>
      </c>
      <c r="K29" s="1275">
        <v>14532</v>
      </c>
      <c r="L29" s="1275">
        <v>15213</v>
      </c>
      <c r="M29" s="1275">
        <v>13279</v>
      </c>
      <c r="N29" s="1448">
        <v>12354</v>
      </c>
      <c r="O29" s="1275">
        <v>17558</v>
      </c>
      <c r="P29" s="1275">
        <v>12789</v>
      </c>
      <c r="Q29" s="1276">
        <v>14677</v>
      </c>
      <c r="R29" s="1275">
        <v>13621</v>
      </c>
      <c r="S29" s="1275">
        <v>12387</v>
      </c>
      <c r="T29" s="1275">
        <v>12092</v>
      </c>
      <c r="U29" s="1276">
        <v>12352</v>
      </c>
      <c r="V29" s="1275">
        <v>11771</v>
      </c>
      <c r="W29" s="1275">
        <v>14915</v>
      </c>
      <c r="X29" s="1275">
        <v>13669</v>
      </c>
      <c r="Y29" s="1276">
        <v>15129</v>
      </c>
      <c r="Z29" s="1275">
        <v>11583</v>
      </c>
      <c r="AA29" s="1275">
        <v>8697</v>
      </c>
      <c r="AB29" s="1275">
        <v>10314</v>
      </c>
      <c r="AC29" s="1276">
        <v>9346</v>
      </c>
      <c r="AD29" s="1275">
        <v>8959</v>
      </c>
      <c r="AE29" s="1275">
        <v>9264</v>
      </c>
      <c r="AF29" s="1275">
        <v>8110</v>
      </c>
      <c r="AG29" s="1276">
        <v>8987</v>
      </c>
      <c r="AH29" s="1275">
        <v>4283</v>
      </c>
      <c r="AI29" s="1275">
        <v>5794</v>
      </c>
      <c r="AJ29" s="1275">
        <v>5244</v>
      </c>
      <c r="AK29" s="1276">
        <v>5901</v>
      </c>
      <c r="AL29" s="1275">
        <v>5237</v>
      </c>
      <c r="AM29" s="1275">
        <v>8873</v>
      </c>
      <c r="AN29" s="1275">
        <v>12243</v>
      </c>
      <c r="AO29" s="1276">
        <v>12065</v>
      </c>
      <c r="AP29" s="1323">
        <v>10920</v>
      </c>
      <c r="AQ29" s="1323">
        <v>8753</v>
      </c>
      <c r="AR29" s="1323">
        <v>9885</v>
      </c>
      <c r="AS29" s="1323">
        <v>10397</v>
      </c>
      <c r="AT29" s="1238">
        <v>10292</v>
      </c>
      <c r="AU29" s="1276">
        <v>7376</v>
      </c>
      <c r="AV29" s="1276">
        <v>8470</v>
      </c>
      <c r="AW29" s="1276">
        <v>8715</v>
      </c>
      <c r="AX29" s="1055"/>
      <c r="AY29" s="1322">
        <v>53210</v>
      </c>
      <c r="AZ29" s="1294">
        <v>57378</v>
      </c>
      <c r="BA29" s="1025">
        <v>-4168</v>
      </c>
      <c r="BB29" s="1056">
        <v>-7.2641081947784861E-2</v>
      </c>
      <c r="BC29" s="1235"/>
      <c r="BD29" s="1447">
        <v>53210</v>
      </c>
      <c r="BE29" s="1447">
        <v>57378</v>
      </c>
      <c r="BF29" s="1447">
        <v>50452</v>
      </c>
      <c r="BG29" s="1447">
        <v>55484</v>
      </c>
      <c r="BH29" s="1447">
        <v>39940</v>
      </c>
      <c r="BI29" s="1447">
        <v>35320</v>
      </c>
      <c r="BJ29" s="1447">
        <v>21222</v>
      </c>
      <c r="BK29" s="1447">
        <v>38418</v>
      </c>
      <c r="BL29" s="1447">
        <v>39955</v>
      </c>
      <c r="BM29" s="1447">
        <v>34853</v>
      </c>
      <c r="BN29" s="1054">
        <v>19998</v>
      </c>
      <c r="BO29" s="1054">
        <v>13448</v>
      </c>
      <c r="BP29" s="1054">
        <v>7632</v>
      </c>
      <c r="BQ29" s="1226"/>
      <c r="BS29" s="1181"/>
      <c r="BT29" s="1181"/>
      <c r="BU29" s="1181"/>
      <c r="BV29" s="1181"/>
    </row>
    <row r="30" spans="1:74" ht="12.75" customHeight="1" x14ac:dyDescent="0.2">
      <c r="A30" s="971"/>
      <c r="B30" s="1228" t="s">
        <v>71</v>
      </c>
      <c r="C30" s="979">
        <v>-635</v>
      </c>
      <c r="D30" s="1056">
        <v>-0.18814814814814815</v>
      </c>
      <c r="E30" s="937"/>
      <c r="F30" s="1190"/>
      <c r="G30" s="1190"/>
      <c r="H30" s="1190"/>
      <c r="I30" s="1190">
        <v>2740</v>
      </c>
      <c r="J30" s="1448">
        <v>3299</v>
      </c>
      <c r="K30" s="1275">
        <v>3662</v>
      </c>
      <c r="L30" s="1275">
        <v>3579</v>
      </c>
      <c r="M30" s="1275">
        <v>3375</v>
      </c>
      <c r="N30" s="1448">
        <v>3799</v>
      </c>
      <c r="O30" s="1275">
        <v>3657</v>
      </c>
      <c r="P30" s="1275">
        <v>3995</v>
      </c>
      <c r="Q30" s="1276">
        <v>3966</v>
      </c>
      <c r="R30" s="1275">
        <v>4101</v>
      </c>
      <c r="S30" s="1275">
        <v>3747</v>
      </c>
      <c r="T30" s="1275">
        <v>3319</v>
      </c>
      <c r="U30" s="1276">
        <v>3691</v>
      </c>
      <c r="V30" s="1275">
        <v>5103</v>
      </c>
      <c r="W30" s="1275">
        <v>5008</v>
      </c>
      <c r="X30" s="1275">
        <v>5183</v>
      </c>
      <c r="Y30" s="1276">
        <v>5780</v>
      </c>
      <c r="Z30" s="1275">
        <v>3472</v>
      </c>
      <c r="AA30" s="1275">
        <v>2933</v>
      </c>
      <c r="AB30" s="1275">
        <v>2057</v>
      </c>
      <c r="AC30" s="1276">
        <v>1802</v>
      </c>
      <c r="AD30" s="1275">
        <v>1773</v>
      </c>
      <c r="AE30" s="1275">
        <v>1829</v>
      </c>
      <c r="AF30" s="1275">
        <v>2788</v>
      </c>
      <c r="AG30" s="1276">
        <v>2348</v>
      </c>
      <c r="AH30" s="1275">
        <v>846</v>
      </c>
      <c r="AI30" s="1275">
        <v>903</v>
      </c>
      <c r="AJ30" s="1275">
        <v>926</v>
      </c>
      <c r="AK30" s="1276">
        <v>958</v>
      </c>
      <c r="AL30" s="1275">
        <v>1009</v>
      </c>
      <c r="AM30" s="1275">
        <v>1586</v>
      </c>
      <c r="AN30" s="1275">
        <v>926</v>
      </c>
      <c r="AO30" s="1276">
        <v>912</v>
      </c>
      <c r="AP30" s="1323">
        <v>998</v>
      </c>
      <c r="AQ30" s="1323">
        <v>984</v>
      </c>
      <c r="AR30" s="1323">
        <v>985</v>
      </c>
      <c r="AS30" s="1323">
        <v>911</v>
      </c>
      <c r="AT30" s="1238">
        <v>895</v>
      </c>
      <c r="AU30" s="1276">
        <v>785</v>
      </c>
      <c r="AV30" s="1276">
        <v>1291</v>
      </c>
      <c r="AW30" s="1276">
        <v>950</v>
      </c>
      <c r="AX30" s="1055"/>
      <c r="AY30" s="1322">
        <v>13915</v>
      </c>
      <c r="AZ30" s="1294">
        <v>15417</v>
      </c>
      <c r="BA30" s="1025">
        <v>-1502</v>
      </c>
      <c r="BB30" s="1056">
        <v>-9.7424920542258542E-2</v>
      </c>
      <c r="BC30" s="1235"/>
      <c r="BD30" s="1447">
        <v>13915</v>
      </c>
      <c r="BE30" s="1447">
        <v>15417</v>
      </c>
      <c r="BF30" s="1447">
        <v>14858</v>
      </c>
      <c r="BG30" s="1447">
        <v>21074</v>
      </c>
      <c r="BH30" s="1447">
        <v>10264</v>
      </c>
      <c r="BI30" s="1447">
        <v>8738</v>
      </c>
      <c r="BJ30" s="1447">
        <v>3633</v>
      </c>
      <c r="BK30" s="1447">
        <v>4433</v>
      </c>
      <c r="BL30" s="1447">
        <v>3878</v>
      </c>
      <c r="BM30" s="1447">
        <v>3921</v>
      </c>
      <c r="BN30" s="1054">
        <v>1910</v>
      </c>
      <c r="BO30" s="1054">
        <v>1204</v>
      </c>
      <c r="BP30" s="1054">
        <v>1291</v>
      </c>
      <c r="BQ30" s="1226"/>
      <c r="BS30" s="1181"/>
      <c r="BT30" s="1181"/>
      <c r="BU30" s="1181"/>
      <c r="BV30" s="1181"/>
    </row>
    <row r="31" spans="1:74" x14ac:dyDescent="0.2">
      <c r="A31" s="969"/>
      <c r="B31" s="1228" t="s">
        <v>72</v>
      </c>
      <c r="C31" s="979">
        <v>-1151</v>
      </c>
      <c r="D31" s="1056">
        <v>-0.66416618580496245</v>
      </c>
      <c r="E31" s="937"/>
      <c r="F31" s="1190"/>
      <c r="G31" s="1190"/>
      <c r="H31" s="1190"/>
      <c r="I31" s="1190">
        <v>582</v>
      </c>
      <c r="J31" s="1448">
        <v>3135</v>
      </c>
      <c r="K31" s="1275">
        <v>1414</v>
      </c>
      <c r="L31" s="1275">
        <v>1587</v>
      </c>
      <c r="M31" s="1275">
        <v>1733</v>
      </c>
      <c r="N31" s="1448">
        <v>1622</v>
      </c>
      <c r="O31" s="1275">
        <v>4120</v>
      </c>
      <c r="P31" s="1275">
        <v>1356</v>
      </c>
      <c r="Q31" s="1276">
        <v>2369</v>
      </c>
      <c r="R31" s="1275">
        <v>2092</v>
      </c>
      <c r="S31" s="1275">
        <v>1080</v>
      </c>
      <c r="T31" s="1275">
        <v>4412</v>
      </c>
      <c r="U31" s="1276">
        <v>2098</v>
      </c>
      <c r="V31" s="1275">
        <v>956</v>
      </c>
      <c r="W31" s="1275">
        <v>2806</v>
      </c>
      <c r="X31" s="1275">
        <v>2025</v>
      </c>
      <c r="Y31" s="1276">
        <v>2158</v>
      </c>
      <c r="Z31" s="1275">
        <v>2098</v>
      </c>
      <c r="AA31" s="1275">
        <v>3205</v>
      </c>
      <c r="AB31" s="1275">
        <v>2536</v>
      </c>
      <c r="AC31" s="1276">
        <v>3150</v>
      </c>
      <c r="AD31" s="1275">
        <v>2605</v>
      </c>
      <c r="AE31" s="1275">
        <v>2930</v>
      </c>
      <c r="AF31" s="1275">
        <v>2786</v>
      </c>
      <c r="AG31" s="1276">
        <v>2489</v>
      </c>
      <c r="AH31" s="1275">
        <v>3105</v>
      </c>
      <c r="AI31" s="1275">
        <v>2464</v>
      </c>
      <c r="AJ31" s="1275">
        <v>1787</v>
      </c>
      <c r="AK31" s="1276">
        <v>2944</v>
      </c>
      <c r="AL31" s="1275">
        <v>3212</v>
      </c>
      <c r="AM31" s="1275">
        <v>4251</v>
      </c>
      <c r="AN31" s="1275">
        <v>3682</v>
      </c>
      <c r="AO31" s="1276">
        <v>4123</v>
      </c>
      <c r="AP31" s="1323">
        <v>6398</v>
      </c>
      <c r="AQ31" s="1323">
        <v>3936</v>
      </c>
      <c r="AR31" s="1323">
        <v>5582</v>
      </c>
      <c r="AS31" s="1323">
        <v>4292</v>
      </c>
      <c r="AT31" s="1238">
        <v>3663</v>
      </c>
      <c r="AU31" s="1276">
        <v>2463</v>
      </c>
      <c r="AV31" s="1276">
        <v>3310</v>
      </c>
      <c r="AW31" s="1276">
        <v>1287</v>
      </c>
      <c r="AX31" s="1055"/>
      <c r="AY31" s="1322">
        <v>7869</v>
      </c>
      <c r="AZ31" s="1294">
        <v>9467</v>
      </c>
      <c r="BA31" s="1025">
        <v>-1598</v>
      </c>
      <c r="BB31" s="1056">
        <v>-0.16879687334952995</v>
      </c>
      <c r="BC31" s="1235"/>
      <c r="BD31" s="1447">
        <v>7869</v>
      </c>
      <c r="BE31" s="1447">
        <v>9467</v>
      </c>
      <c r="BF31" s="1447">
        <v>9682</v>
      </c>
      <c r="BG31" s="1447">
        <v>7945</v>
      </c>
      <c r="BH31" s="1447">
        <v>10989</v>
      </c>
      <c r="BI31" s="1447">
        <v>10810</v>
      </c>
      <c r="BJ31" s="1447">
        <v>10300</v>
      </c>
      <c r="BK31" s="1447">
        <v>15268</v>
      </c>
      <c r="BL31" s="1447">
        <v>20208</v>
      </c>
      <c r="BM31" s="1447">
        <v>10723</v>
      </c>
      <c r="BN31" s="1054">
        <v>1239</v>
      </c>
      <c r="BO31" s="1054">
        <v>682</v>
      </c>
      <c r="BP31" s="1054">
        <v>836</v>
      </c>
      <c r="BQ31" s="1226"/>
      <c r="BS31" s="1181"/>
      <c r="BT31" s="1181"/>
      <c r="BU31" s="1181"/>
      <c r="BV31" s="1181"/>
    </row>
    <row r="32" spans="1:74" ht="12.75" customHeight="1" x14ac:dyDescent="0.2">
      <c r="A32" s="971"/>
      <c r="B32" s="969" t="s">
        <v>160</v>
      </c>
      <c r="C32" s="979">
        <v>0</v>
      </c>
      <c r="D32" s="1056">
        <v>0</v>
      </c>
      <c r="E32" s="937"/>
      <c r="F32" s="1397"/>
      <c r="G32" s="2301"/>
      <c r="H32" s="2301"/>
      <c r="I32" s="2308">
        <v>0</v>
      </c>
      <c r="J32" s="2020">
        <v>8328</v>
      </c>
      <c r="K32" s="1461">
        <v>2977</v>
      </c>
      <c r="L32" s="1461">
        <v>0</v>
      </c>
      <c r="M32" s="1461">
        <v>0</v>
      </c>
      <c r="N32" s="1462">
        <v>20997</v>
      </c>
      <c r="O32" s="1461">
        <v>0</v>
      </c>
      <c r="P32" s="1461">
        <v>0</v>
      </c>
      <c r="Q32" s="1463">
        <v>0</v>
      </c>
      <c r="R32" s="1461">
        <v>0</v>
      </c>
      <c r="S32" s="1461">
        <v>0</v>
      </c>
      <c r="T32" s="1461">
        <v>5486</v>
      </c>
      <c r="U32" s="1463">
        <v>0</v>
      </c>
      <c r="V32" s="1461">
        <v>5561</v>
      </c>
      <c r="W32" s="1461">
        <v>5276</v>
      </c>
      <c r="X32" s="1461">
        <v>4395</v>
      </c>
      <c r="Y32" s="1463">
        <v>0</v>
      </c>
      <c r="Z32" s="1461">
        <v>27786</v>
      </c>
      <c r="AA32" s="1461">
        <v>1292</v>
      </c>
      <c r="AB32" s="1461">
        <v>0</v>
      </c>
      <c r="AC32" s="1463">
        <v>0</v>
      </c>
      <c r="AD32" s="1461">
        <v>0</v>
      </c>
      <c r="AE32" s="1461">
        <v>0</v>
      </c>
      <c r="AF32" s="1461">
        <v>0</v>
      </c>
      <c r="AG32" s="1463">
        <v>0</v>
      </c>
      <c r="AH32" s="1461">
        <v>0</v>
      </c>
      <c r="AI32" s="1461">
        <v>0</v>
      </c>
      <c r="AJ32" s="1461">
        <v>0</v>
      </c>
      <c r="AK32" s="1463">
        <v>0</v>
      </c>
      <c r="AL32" s="1275">
        <v>22</v>
      </c>
      <c r="AM32" s="1275">
        <v>5949</v>
      </c>
      <c r="AN32" s="1461">
        <v>0</v>
      </c>
      <c r="AO32" s="1463">
        <v>0</v>
      </c>
      <c r="AP32" s="1464">
        <v>1000</v>
      </c>
      <c r="AQ32" s="1461">
        <v>0</v>
      </c>
      <c r="AR32" s="1461">
        <v>0</v>
      </c>
      <c r="AS32" s="1461">
        <v>0</v>
      </c>
      <c r="AT32" s="1462">
        <v>0</v>
      </c>
      <c r="AU32" s="1463">
        <v>0</v>
      </c>
      <c r="AV32" s="1276"/>
      <c r="AW32" s="1276"/>
      <c r="AX32" s="1055"/>
      <c r="AY32" s="1322">
        <v>11305</v>
      </c>
      <c r="AZ32" s="1294">
        <v>20997</v>
      </c>
      <c r="BA32" s="1025">
        <v>-9692</v>
      </c>
      <c r="BB32" s="1056">
        <v>-0.46158975091679766</v>
      </c>
      <c r="BC32" s="1235"/>
      <c r="BD32" s="1447">
        <v>11305</v>
      </c>
      <c r="BE32" s="1447">
        <v>20997</v>
      </c>
      <c r="BF32" s="1447">
        <v>5486</v>
      </c>
      <c r="BG32" s="1465">
        <v>15232</v>
      </c>
      <c r="BH32" s="1465">
        <v>29078</v>
      </c>
      <c r="BI32" s="1465">
        <v>0</v>
      </c>
      <c r="BJ32" s="1465">
        <v>0</v>
      </c>
      <c r="BK32" s="1466">
        <v>5971</v>
      </c>
      <c r="BL32" s="1054">
        <v>1000</v>
      </c>
      <c r="BM32" s="1054">
        <v>0</v>
      </c>
      <c r="BN32" s="1054">
        <v>0</v>
      </c>
      <c r="BO32" s="1054">
        <v>0</v>
      </c>
      <c r="BP32" s="1054">
        <v>0</v>
      </c>
      <c r="BQ32" s="1226"/>
      <c r="BS32" s="1181"/>
      <c r="BT32" s="1181"/>
      <c r="BU32" s="1181"/>
      <c r="BV32" s="1181"/>
    </row>
    <row r="33" spans="1:74" ht="12.75" customHeight="1" x14ac:dyDescent="0.2">
      <c r="A33" s="969"/>
      <c r="B33" s="969" t="s">
        <v>181</v>
      </c>
      <c r="C33" s="979">
        <v>0</v>
      </c>
      <c r="D33" s="1056">
        <v>0</v>
      </c>
      <c r="E33" s="937"/>
      <c r="F33" s="1397"/>
      <c r="G33" s="2301"/>
      <c r="H33" s="2301"/>
      <c r="I33" s="2308">
        <v>0</v>
      </c>
      <c r="J33" s="2020"/>
      <c r="K33" s="1461">
        <v>0</v>
      </c>
      <c r="L33" s="1461">
        <v>0</v>
      </c>
      <c r="M33" s="1461">
        <v>0</v>
      </c>
      <c r="N33" s="1462">
        <v>0</v>
      </c>
      <c r="O33" s="1461">
        <v>0</v>
      </c>
      <c r="P33" s="1461">
        <v>0</v>
      </c>
      <c r="Q33" s="1463">
        <v>0</v>
      </c>
      <c r="R33" s="1461">
        <v>0</v>
      </c>
      <c r="S33" s="1461">
        <v>0</v>
      </c>
      <c r="T33" s="1461">
        <v>0</v>
      </c>
      <c r="U33" s="1463">
        <v>0</v>
      </c>
      <c r="V33" s="1461">
        <v>0</v>
      </c>
      <c r="W33" s="1461">
        <v>0</v>
      </c>
      <c r="X33" s="1461">
        <v>388</v>
      </c>
      <c r="Y33" s="1463">
        <v>0</v>
      </c>
      <c r="Z33" s="1461">
        <v>6323</v>
      </c>
      <c r="AA33" s="1461">
        <v>2700</v>
      </c>
      <c r="AB33" s="1461">
        <v>1443</v>
      </c>
      <c r="AC33" s="1463">
        <v>0</v>
      </c>
      <c r="AD33" s="1461">
        <v>0</v>
      </c>
      <c r="AE33" s="1461">
        <v>1750</v>
      </c>
      <c r="AF33" s="1461">
        <v>0</v>
      </c>
      <c r="AG33" s="1463">
        <v>10990</v>
      </c>
      <c r="AH33" s="1461">
        <v>5000</v>
      </c>
      <c r="AI33" s="1461">
        <v>0</v>
      </c>
      <c r="AJ33" s="1461">
        <v>0</v>
      </c>
      <c r="AK33" s="1463">
        <v>0</v>
      </c>
      <c r="AL33" s="1461">
        <v>0</v>
      </c>
      <c r="AM33" s="1461">
        <v>0</v>
      </c>
      <c r="AN33" s="1461">
        <v>0</v>
      </c>
      <c r="AO33" s="1463">
        <v>0</v>
      </c>
      <c r="AP33" s="1462">
        <v>0</v>
      </c>
      <c r="AQ33" s="1461"/>
      <c r="AR33" s="1461"/>
      <c r="AS33" s="1461"/>
      <c r="AT33" s="1462"/>
      <c r="AU33" s="1463"/>
      <c r="AV33" s="1463"/>
      <c r="AW33" s="1463"/>
      <c r="AX33" s="1055"/>
      <c r="AY33" s="1322">
        <v>0</v>
      </c>
      <c r="AZ33" s="1294">
        <v>0</v>
      </c>
      <c r="BA33" s="1025">
        <v>0</v>
      </c>
      <c r="BB33" s="1056" t="e">
        <v>#DIV/0!</v>
      </c>
      <c r="BC33" s="1230"/>
      <c r="BD33" s="2208">
        <v>0</v>
      </c>
      <c r="BE33" s="1467">
        <v>0</v>
      </c>
      <c r="BF33" s="1465">
        <v>0</v>
      </c>
      <c r="BG33" s="1447">
        <v>388</v>
      </c>
      <c r="BH33" s="1447">
        <v>10466</v>
      </c>
      <c r="BI33" s="1447">
        <v>12740</v>
      </c>
      <c r="BJ33" s="1466">
        <v>5000</v>
      </c>
      <c r="BK33" s="1465">
        <v>0</v>
      </c>
      <c r="BL33" s="1465">
        <v>0</v>
      </c>
      <c r="BM33" s="1465">
        <v>0</v>
      </c>
      <c r="BN33" s="1465">
        <v>0</v>
      </c>
      <c r="BO33" s="1465"/>
      <c r="BP33" s="1465"/>
      <c r="BQ33" s="1226"/>
      <c r="BS33" s="1181"/>
      <c r="BT33" s="1181"/>
      <c r="BU33" s="1181"/>
      <c r="BV33" s="1181"/>
    </row>
    <row r="34" spans="1:74" x14ac:dyDescent="0.2">
      <c r="A34" s="969"/>
      <c r="B34" s="969" t="s">
        <v>442</v>
      </c>
      <c r="C34" s="979">
        <v>0</v>
      </c>
      <c r="D34" s="1056">
        <v>0</v>
      </c>
      <c r="E34" s="937"/>
      <c r="F34" s="1397"/>
      <c r="G34" s="2301"/>
      <c r="H34" s="2301"/>
      <c r="I34" s="2308">
        <v>0</v>
      </c>
      <c r="J34" s="2020">
        <v>0</v>
      </c>
      <c r="K34" s="1461">
        <v>321037</v>
      </c>
      <c r="L34" s="1461">
        <v>0</v>
      </c>
      <c r="M34" s="1461">
        <v>0</v>
      </c>
      <c r="N34" s="1462">
        <v>10000</v>
      </c>
      <c r="O34" s="1461">
        <v>4535</v>
      </c>
      <c r="P34" s="1461">
        <v>0</v>
      </c>
      <c r="Q34" s="1463">
        <v>0</v>
      </c>
      <c r="R34" s="1461">
        <v>0</v>
      </c>
      <c r="S34" s="1461">
        <v>0</v>
      </c>
      <c r="T34" s="1461">
        <v>0</v>
      </c>
      <c r="U34" s="1463">
        <v>0</v>
      </c>
      <c r="V34" s="1461">
        <v>0</v>
      </c>
      <c r="W34" s="1461"/>
      <c r="X34" s="1461"/>
      <c r="Y34" s="1463"/>
      <c r="Z34" s="1461"/>
      <c r="AA34" s="1461">
        <v>0</v>
      </c>
      <c r="AB34" s="1461">
        <v>0</v>
      </c>
      <c r="AC34" s="1463">
        <v>0</v>
      </c>
      <c r="AD34" s="1461">
        <v>0</v>
      </c>
      <c r="AE34" s="1461">
        <v>0</v>
      </c>
      <c r="AF34" s="1461">
        <v>0</v>
      </c>
      <c r="AG34" s="1463">
        <v>0</v>
      </c>
      <c r="AH34" s="1461">
        <v>0</v>
      </c>
      <c r="AI34" s="1461">
        <v>0</v>
      </c>
      <c r="AJ34" s="1461">
        <v>0</v>
      </c>
      <c r="AK34" s="1463">
        <v>0</v>
      </c>
      <c r="AL34" s="1461">
        <v>0</v>
      </c>
      <c r="AM34" s="1461">
        <v>31524</v>
      </c>
      <c r="AN34" s="1461">
        <v>0</v>
      </c>
      <c r="AO34" s="1463">
        <v>0</v>
      </c>
      <c r="AP34" s="1462">
        <v>0</v>
      </c>
      <c r="AQ34" s="1461">
        <v>0</v>
      </c>
      <c r="AR34" s="1461">
        <v>0</v>
      </c>
      <c r="AS34" s="1461">
        <v>0</v>
      </c>
      <c r="AT34" s="1462">
        <v>0</v>
      </c>
      <c r="AU34" s="1463">
        <v>0</v>
      </c>
      <c r="AV34" s="1463"/>
      <c r="AW34" s="1463"/>
      <c r="AX34" s="1055"/>
      <c r="AY34" s="1468">
        <v>321037</v>
      </c>
      <c r="AZ34" s="1469">
        <v>14535</v>
      </c>
      <c r="BA34" s="1025">
        <v>306502</v>
      </c>
      <c r="BB34" s="1056" t="s">
        <v>42</v>
      </c>
      <c r="BC34" s="1251"/>
      <c r="BD34" s="1447">
        <v>321037</v>
      </c>
      <c r="BE34" s="1470">
        <v>14535</v>
      </c>
      <c r="BF34" s="1470">
        <v>0</v>
      </c>
      <c r="BG34" s="1465">
        <v>0</v>
      </c>
      <c r="BH34" s="1465">
        <v>0</v>
      </c>
      <c r="BI34" s="1465">
        <v>0</v>
      </c>
      <c r="BJ34" s="1465"/>
      <c r="BK34" s="1466">
        <v>31524</v>
      </c>
      <c r="BL34" s="1465">
        <v>0</v>
      </c>
      <c r="BM34" s="1465">
        <v>0</v>
      </c>
      <c r="BN34" s="1465">
        <v>0</v>
      </c>
      <c r="BO34" s="1465">
        <v>0</v>
      </c>
      <c r="BP34" s="1465">
        <v>0</v>
      </c>
      <c r="BQ34" s="1226"/>
      <c r="BS34" s="1181"/>
      <c r="BT34" s="1181"/>
      <c r="BU34" s="1181"/>
      <c r="BV34" s="1181"/>
    </row>
    <row r="35" spans="1:74" ht="12.75" customHeight="1" x14ac:dyDescent="0.2">
      <c r="A35" s="971"/>
      <c r="B35" s="969"/>
      <c r="C35" s="1231">
        <v>-2120</v>
      </c>
      <c r="D35" s="1420">
        <v>-1.6091570142547022E-2</v>
      </c>
      <c r="E35" s="937"/>
      <c r="F35" s="1208">
        <v>0</v>
      </c>
      <c r="G35" s="1208">
        <v>0</v>
      </c>
      <c r="H35" s="1208">
        <v>0</v>
      </c>
      <c r="I35" s="1208">
        <v>129626</v>
      </c>
      <c r="J35" s="1455">
        <v>146217</v>
      </c>
      <c r="K35" s="1315">
        <v>462159</v>
      </c>
      <c r="L35" s="1315">
        <v>124171</v>
      </c>
      <c r="M35" s="1315">
        <v>131746</v>
      </c>
      <c r="N35" s="1455">
        <v>179521</v>
      </c>
      <c r="O35" s="1315">
        <v>128007</v>
      </c>
      <c r="P35" s="1315">
        <v>141959</v>
      </c>
      <c r="Q35" s="1286">
        <v>149776</v>
      </c>
      <c r="R35" s="1315">
        <v>149797</v>
      </c>
      <c r="S35" s="1315">
        <v>141170</v>
      </c>
      <c r="T35" s="1315">
        <v>124884</v>
      </c>
      <c r="U35" s="1286">
        <v>117011</v>
      </c>
      <c r="V35" s="1315">
        <v>141520</v>
      </c>
      <c r="W35" s="1315">
        <v>145199</v>
      </c>
      <c r="X35" s="1315">
        <v>126083</v>
      </c>
      <c r="Y35" s="1286">
        <v>121025</v>
      </c>
      <c r="Z35" s="1315">
        <v>139001</v>
      </c>
      <c r="AA35" s="1315">
        <v>83160</v>
      </c>
      <c r="AB35" s="1315">
        <v>72012</v>
      </c>
      <c r="AC35" s="1286">
        <v>80971</v>
      </c>
      <c r="AD35" s="1315">
        <v>108607</v>
      </c>
      <c r="AE35" s="1315">
        <v>118296</v>
      </c>
      <c r="AF35" s="1315">
        <v>77614</v>
      </c>
      <c r="AG35" s="1286">
        <v>86565</v>
      </c>
      <c r="AH35" s="1315">
        <v>71336</v>
      </c>
      <c r="AI35" s="1315">
        <v>88110</v>
      </c>
      <c r="AJ35" s="1315">
        <v>64018</v>
      </c>
      <c r="AK35" s="1286">
        <v>69132</v>
      </c>
      <c r="AL35" s="1315">
        <v>54540</v>
      </c>
      <c r="AM35" s="1315">
        <v>95770</v>
      </c>
      <c r="AN35" s="1315">
        <v>63150</v>
      </c>
      <c r="AO35" s="1286">
        <v>85020</v>
      </c>
      <c r="AP35" s="1315">
        <v>75141</v>
      </c>
      <c r="AQ35" s="1452">
        <v>87449</v>
      </c>
      <c r="AR35" s="1286">
        <v>74128</v>
      </c>
      <c r="AS35" s="1452">
        <v>106349</v>
      </c>
      <c r="AT35" s="1471">
        <v>100905</v>
      </c>
      <c r="AU35" s="1453">
        <v>75317</v>
      </c>
      <c r="AV35" s="1453">
        <v>70703</v>
      </c>
      <c r="AW35" s="1452">
        <v>91522</v>
      </c>
      <c r="AX35" s="1055"/>
      <c r="AY35" s="1315">
        <v>864293</v>
      </c>
      <c r="AZ35" s="1335">
        <v>599263</v>
      </c>
      <c r="BA35" s="1456">
        <v>265030</v>
      </c>
      <c r="BB35" s="1232">
        <v>0.44225990925520181</v>
      </c>
      <c r="BC35" s="1251"/>
      <c r="BD35" s="1291">
        <v>864293</v>
      </c>
      <c r="BE35" s="1472">
        <v>599263</v>
      </c>
      <c r="BF35" s="1472">
        <v>532862</v>
      </c>
      <c r="BG35" s="1472">
        <v>533827</v>
      </c>
      <c r="BH35" s="1472">
        <v>375144</v>
      </c>
      <c r="BI35" s="1472">
        <v>391082</v>
      </c>
      <c r="BJ35" s="1472">
        <v>292596</v>
      </c>
      <c r="BK35" s="1473">
        <v>298480</v>
      </c>
      <c r="BL35" s="1457">
        <v>343067</v>
      </c>
      <c r="BM35" s="1457">
        <v>338447</v>
      </c>
      <c r="BN35" s="1292">
        <v>231683</v>
      </c>
      <c r="BO35" s="1292">
        <v>173735</v>
      </c>
      <c r="BP35" s="1292">
        <v>154490</v>
      </c>
      <c r="BQ35" s="1226"/>
      <c r="BS35" s="1181"/>
      <c r="BT35" s="1181"/>
      <c r="BU35" s="1181"/>
      <c r="BV35" s="1181"/>
    </row>
    <row r="36" spans="1:74" s="1211" customFormat="1" ht="24.95" customHeight="1" thickBot="1" x14ac:dyDescent="0.25">
      <c r="A36" s="2465" t="s">
        <v>179</v>
      </c>
      <c r="B36" s="2466"/>
      <c r="C36" s="979">
        <v>-2317</v>
      </c>
      <c r="D36" s="1056">
        <v>-0.17435472947550607</v>
      </c>
      <c r="E36" s="937"/>
      <c r="F36" s="1398">
        <v>0</v>
      </c>
      <c r="G36" s="1398">
        <v>0</v>
      </c>
      <c r="H36" s="1399">
        <v>0</v>
      </c>
      <c r="I36" s="1398">
        <v>10972</v>
      </c>
      <c r="J36" s="1482">
        <v>-7638</v>
      </c>
      <c r="K36" s="1475">
        <v>-340014</v>
      </c>
      <c r="L36" s="1474">
        <v>2340</v>
      </c>
      <c r="M36" s="1475">
        <v>13289</v>
      </c>
      <c r="N36" s="1476">
        <v>-20142</v>
      </c>
      <c r="O36" s="1475">
        <v>-24141</v>
      </c>
      <c r="P36" s="1474">
        <v>28656</v>
      </c>
      <c r="Q36" s="1477">
        <v>29469</v>
      </c>
      <c r="R36" s="1478">
        <v>36862</v>
      </c>
      <c r="S36" s="1474">
        <v>30064</v>
      </c>
      <c r="T36" s="1474">
        <v>1807</v>
      </c>
      <c r="U36" s="1479">
        <v>14195</v>
      </c>
      <c r="V36" s="1480">
        <v>12477</v>
      </c>
      <c r="W36" s="1474">
        <v>20426</v>
      </c>
      <c r="X36" s="1475">
        <v>-5973</v>
      </c>
      <c r="Y36" s="1481">
        <v>-19724</v>
      </c>
      <c r="Z36" s="1482">
        <v>-25934</v>
      </c>
      <c r="AA36" s="1475">
        <v>10421</v>
      </c>
      <c r="AB36" s="1475">
        <v>-2560</v>
      </c>
      <c r="AC36" s="1473">
        <v>16406</v>
      </c>
      <c r="AD36" s="1478">
        <v>55164</v>
      </c>
      <c r="AE36" s="1478">
        <v>59462</v>
      </c>
      <c r="AF36" s="1478">
        <v>19349</v>
      </c>
      <c r="AG36" s="1479">
        <v>12981</v>
      </c>
      <c r="AH36" s="1478">
        <v>12160</v>
      </c>
      <c r="AI36" s="1478">
        <v>27980</v>
      </c>
      <c r="AJ36" s="1478">
        <v>14457</v>
      </c>
      <c r="AK36" s="1478">
        <v>16365</v>
      </c>
      <c r="AL36" s="1483">
        <v>10432</v>
      </c>
      <c r="AM36" s="1478">
        <v>-46520</v>
      </c>
      <c r="AN36" s="1478">
        <v>-4814</v>
      </c>
      <c r="AO36" s="1478">
        <v>19773</v>
      </c>
      <c r="AP36" s="1483">
        <v>2824</v>
      </c>
      <c r="AQ36" s="1474">
        <v>22134</v>
      </c>
      <c r="AR36" s="1473">
        <v>14943</v>
      </c>
      <c r="AS36" s="1474">
        <v>48674</v>
      </c>
      <c r="AT36" s="1474">
        <v>29246</v>
      </c>
      <c r="AU36" s="1474">
        <v>26110</v>
      </c>
      <c r="AV36" s="1474">
        <v>22330</v>
      </c>
      <c r="AW36" s="1474">
        <v>33584</v>
      </c>
      <c r="AX36" s="1055"/>
      <c r="AY36" s="1475">
        <v>-332023</v>
      </c>
      <c r="AZ36" s="1475">
        <v>13842</v>
      </c>
      <c r="BA36" s="1456">
        <v>-345865</v>
      </c>
      <c r="BB36" s="1232" t="s">
        <v>42</v>
      </c>
      <c r="BC36" s="1225"/>
      <c r="BD36" s="1484">
        <v>-332023</v>
      </c>
      <c r="BE36" s="1484">
        <v>13842</v>
      </c>
      <c r="BF36" s="1484">
        <v>82928</v>
      </c>
      <c r="BG36" s="1484">
        <v>7206</v>
      </c>
      <c r="BH36" s="1484">
        <v>-1667</v>
      </c>
      <c r="BI36" s="1484">
        <v>147562</v>
      </c>
      <c r="BJ36" s="1484" t="e">
        <f>BJ19-BJ35</f>
        <v>#REF!</v>
      </c>
      <c r="BK36" s="1457" t="e">
        <f>BK19-BK35</f>
        <v>#REF!</v>
      </c>
      <c r="BL36" s="1457" t="e">
        <f>BL19-BL35</f>
        <v>#REF!</v>
      </c>
      <c r="BM36" s="1457">
        <v>111270</v>
      </c>
      <c r="BN36" s="1060">
        <v>101983</v>
      </c>
      <c r="BO36" s="1028">
        <v>65919</v>
      </c>
      <c r="BP36" s="1485">
        <v>57268</v>
      </c>
      <c r="BQ36" s="1486"/>
      <c r="BR36" s="2320"/>
      <c r="BS36" s="1401"/>
      <c r="BT36" s="1401"/>
      <c r="BU36" s="1402"/>
      <c r="BV36" s="1402"/>
    </row>
    <row r="37" spans="1:74" s="1211" customFormat="1" ht="13.5" thickTop="1" x14ac:dyDescent="0.2">
      <c r="A37" s="2275"/>
      <c r="B37" s="1423" t="s">
        <v>347</v>
      </c>
      <c r="C37" s="1231">
        <v>-369</v>
      </c>
      <c r="D37" s="1232">
        <v>-9.2504387064427179E-2</v>
      </c>
      <c r="E37" s="937"/>
      <c r="F37" s="1398"/>
      <c r="G37" s="1398"/>
      <c r="H37" s="1398"/>
      <c r="I37" s="1398">
        <v>3620</v>
      </c>
      <c r="J37" s="1482">
        <v>5066</v>
      </c>
      <c r="K37" s="1475">
        <v>3918</v>
      </c>
      <c r="L37" s="1475">
        <v>4114</v>
      </c>
      <c r="M37" s="1475">
        <v>3989</v>
      </c>
      <c r="N37" s="1482">
        <v>3122</v>
      </c>
      <c r="O37" s="1475">
        <v>2697</v>
      </c>
      <c r="P37" s="1475">
        <v>3392</v>
      </c>
      <c r="Q37" s="1481">
        <v>2699</v>
      </c>
      <c r="R37" s="1475">
        <v>2245</v>
      </c>
      <c r="S37" s="1475">
        <v>2156</v>
      </c>
      <c r="T37" s="1475">
        <v>1833</v>
      </c>
      <c r="U37" s="1481">
        <v>2303</v>
      </c>
      <c r="V37" s="1248">
        <v>510</v>
      </c>
      <c r="W37" s="1248">
        <v>848</v>
      </c>
      <c r="X37" s="1248">
        <v>504</v>
      </c>
      <c r="Y37" s="1506">
        <v>1704</v>
      </c>
      <c r="Z37" s="1248">
        <v>3107</v>
      </c>
      <c r="AA37" s="1248">
        <v>2615</v>
      </c>
      <c r="AB37" s="1248">
        <v>3104</v>
      </c>
      <c r="AC37" s="1498">
        <v>3041</v>
      </c>
      <c r="AD37" s="1497"/>
      <c r="AE37" s="1478"/>
      <c r="AF37" s="1478"/>
      <c r="AG37" s="1477"/>
      <c r="AH37" s="1478"/>
      <c r="AI37" s="1478"/>
      <c r="AJ37" s="1478"/>
      <c r="AK37" s="1477"/>
      <c r="AL37" s="1490"/>
      <c r="AM37" s="1490"/>
      <c r="AN37" s="1490"/>
      <c r="AO37" s="1491"/>
      <c r="AP37" s="1490"/>
      <c r="AQ37" s="1478"/>
      <c r="AR37" s="1477"/>
      <c r="AS37" s="1478"/>
      <c r="AT37" s="1478"/>
      <c r="AU37" s="1478"/>
      <c r="AV37" s="1478"/>
      <c r="AW37" s="1478"/>
      <c r="AX37" s="1509"/>
      <c r="AY37" s="1322">
        <v>17087</v>
      </c>
      <c r="AZ37" s="1478">
        <v>11910</v>
      </c>
      <c r="BA37" s="1456">
        <v>5177</v>
      </c>
      <c r="BB37" s="1232">
        <v>0.43467674223341729</v>
      </c>
      <c r="BC37" s="1517"/>
      <c r="BD37" s="1447">
        <v>17087</v>
      </c>
      <c r="BE37" s="1451">
        <v>11910</v>
      </c>
      <c r="BF37" s="1451">
        <v>8537</v>
      </c>
      <c r="BG37" s="1451">
        <v>3566</v>
      </c>
      <c r="BH37" s="1451">
        <v>11867</v>
      </c>
      <c r="BI37" s="1451">
        <v>10903</v>
      </c>
      <c r="BJ37" s="1451" t="e">
        <f>#REF!</f>
        <v>#REF!</v>
      </c>
      <c r="BK37" s="1491" t="s">
        <v>177</v>
      </c>
      <c r="BL37" s="1494"/>
      <c r="BM37" s="1494"/>
      <c r="BN37" s="1495"/>
      <c r="BO37" s="1495"/>
      <c r="BP37" s="1028"/>
      <c r="BQ37" s="1496"/>
      <c r="BR37" s="2320"/>
      <c r="BS37" s="1401"/>
      <c r="BT37" s="1401"/>
      <c r="BU37" s="1402"/>
      <c r="BV37" s="1402"/>
    </row>
    <row r="38" spans="1:74" s="1211" customFormat="1" ht="20.25" customHeight="1" thickBot="1" x14ac:dyDescent="0.25">
      <c r="A38" s="1239" t="s">
        <v>74</v>
      </c>
      <c r="B38" s="970"/>
      <c r="C38" s="1425">
        <v>-1948</v>
      </c>
      <c r="D38" s="1243">
        <v>-0.20946236559139786</v>
      </c>
      <c r="E38" s="937"/>
      <c r="F38" s="1409">
        <v>0</v>
      </c>
      <c r="G38" s="1409">
        <v>0</v>
      </c>
      <c r="H38" s="1409">
        <v>0</v>
      </c>
      <c r="I38" s="1409">
        <v>7352</v>
      </c>
      <c r="J38" s="1511">
        <v>-12704</v>
      </c>
      <c r="K38" s="1510">
        <v>-343932</v>
      </c>
      <c r="L38" s="1510">
        <v>-1774</v>
      </c>
      <c r="M38" s="1510">
        <v>9300</v>
      </c>
      <c r="N38" s="1511">
        <v>-23264</v>
      </c>
      <c r="O38" s="1510">
        <v>-26838</v>
      </c>
      <c r="P38" s="1512">
        <v>25264</v>
      </c>
      <c r="Q38" s="1513">
        <v>26770</v>
      </c>
      <c r="R38" s="1512">
        <v>34617</v>
      </c>
      <c r="S38" s="1512">
        <v>27908</v>
      </c>
      <c r="T38" s="1510">
        <v>-26</v>
      </c>
      <c r="U38" s="1514">
        <v>11892</v>
      </c>
      <c r="V38" s="1510">
        <v>11967</v>
      </c>
      <c r="W38" s="1510">
        <v>19578</v>
      </c>
      <c r="X38" s="1510">
        <v>-6477</v>
      </c>
      <c r="Y38" s="1510">
        <v>-21428</v>
      </c>
      <c r="Z38" s="1511">
        <v>-29041</v>
      </c>
      <c r="AA38" s="1510">
        <v>7806</v>
      </c>
      <c r="AB38" s="1510">
        <v>-5664</v>
      </c>
      <c r="AC38" s="1513">
        <v>13365</v>
      </c>
      <c r="AD38" s="1512">
        <v>52615</v>
      </c>
      <c r="AE38" s="1512">
        <v>56728</v>
      </c>
      <c r="AF38" s="1512">
        <v>16445</v>
      </c>
      <c r="AG38" s="1513">
        <v>10265</v>
      </c>
      <c r="AH38" s="1512">
        <v>9460</v>
      </c>
      <c r="AI38" s="1512">
        <v>25609</v>
      </c>
      <c r="AJ38" s="1512">
        <v>12266</v>
      </c>
      <c r="AK38" s="1513">
        <v>14054</v>
      </c>
      <c r="AL38" s="1515" t="s">
        <v>177</v>
      </c>
      <c r="AM38" s="1515" t="s">
        <v>177</v>
      </c>
      <c r="AN38" s="1515" t="s">
        <v>177</v>
      </c>
      <c r="AO38" s="1516" t="s">
        <v>177</v>
      </c>
      <c r="AP38" s="1515" t="s">
        <v>177</v>
      </c>
      <c r="AQ38" s="1478"/>
      <c r="AR38" s="1477"/>
      <c r="AS38" s="1478"/>
      <c r="AT38" s="1478"/>
      <c r="AU38" s="1478"/>
      <c r="AV38" s="1478"/>
      <c r="AW38" s="1478"/>
      <c r="AX38" s="1509"/>
      <c r="AY38" s="1510">
        <v>-349110</v>
      </c>
      <c r="AZ38" s="1510">
        <v>1932</v>
      </c>
      <c r="BA38" s="1510">
        <v>-351042</v>
      </c>
      <c r="BB38" s="1243" t="s">
        <v>42</v>
      </c>
      <c r="BC38" s="1510">
        <v>0</v>
      </c>
      <c r="BD38" s="1518">
        <v>-349110</v>
      </c>
      <c r="BE38" s="1518">
        <v>1932</v>
      </c>
      <c r="BF38" s="1518">
        <v>74391</v>
      </c>
      <c r="BG38" s="1518">
        <v>3640</v>
      </c>
      <c r="BH38" s="1518">
        <v>-13534</v>
      </c>
      <c r="BI38" s="1519">
        <v>136659</v>
      </c>
      <c r="BJ38" s="1519" t="e">
        <f>BJ36-#REF!</f>
        <v>#REF!</v>
      </c>
      <c r="BK38" s="1516" t="s">
        <v>177</v>
      </c>
      <c r="BL38" s="1516" t="s">
        <v>177</v>
      </c>
      <c r="BM38" s="1516" t="s">
        <v>177</v>
      </c>
      <c r="BN38" s="1520" t="s">
        <v>177</v>
      </c>
      <c r="BO38" s="1520" t="s">
        <v>177</v>
      </c>
      <c r="BP38" s="1028"/>
      <c r="BQ38" s="1496"/>
      <c r="BR38" s="2320"/>
      <c r="BS38" s="1401"/>
      <c r="BT38" s="1401"/>
      <c r="BU38" s="1402"/>
      <c r="BV38" s="1402"/>
    </row>
    <row r="39" spans="1:74" ht="12.75" customHeight="1" thickTop="1" x14ac:dyDescent="0.2">
      <c r="A39" s="1244"/>
      <c r="B39" s="1244"/>
      <c r="C39" s="1025"/>
      <c r="D39" s="975"/>
      <c r="E39" s="926"/>
      <c r="F39" s="926"/>
      <c r="G39" s="926"/>
      <c r="H39" s="926"/>
      <c r="I39" s="926"/>
      <c r="J39" s="975"/>
      <c r="K39" s="975"/>
      <c r="L39" s="975"/>
      <c r="M39" s="975"/>
      <c r="N39" s="975"/>
      <c r="O39" s="975"/>
      <c r="P39" s="975"/>
      <c r="Q39" s="975"/>
      <c r="R39" s="975"/>
      <c r="S39" s="975"/>
      <c r="T39" s="975"/>
      <c r="U39" s="1251"/>
      <c r="V39" s="975"/>
      <c r="W39" s="975"/>
      <c r="X39" s="975"/>
      <c r="Y39" s="1251"/>
      <c r="Z39" s="975"/>
      <c r="AA39" s="975"/>
      <c r="AB39" s="975"/>
      <c r="AC39" s="1251"/>
      <c r="AD39" s="975"/>
      <c r="AE39" s="975"/>
      <c r="AF39" s="975"/>
      <c r="AG39" s="1251"/>
      <c r="AH39" s="975"/>
      <c r="AI39" s="975"/>
      <c r="AJ39" s="975"/>
      <c r="AK39" s="1251"/>
      <c r="AL39" s="975"/>
      <c r="AM39" s="975"/>
      <c r="AN39" s="975"/>
      <c r="AO39" s="1251"/>
      <c r="AP39" s="1235"/>
      <c r="AQ39" s="1235"/>
      <c r="AR39" s="1235"/>
      <c r="AS39" s="1235"/>
      <c r="AT39" s="1348"/>
      <c r="AU39" s="1348"/>
      <c r="AV39" s="1348"/>
      <c r="AW39" s="1348"/>
      <c r="AX39" s="1251"/>
      <c r="AY39" s="1251"/>
      <c r="AZ39" s="1251"/>
      <c r="BA39" s="1025"/>
      <c r="BB39" s="975"/>
      <c r="BC39" s="1251"/>
      <c r="BD39" s="1251"/>
      <c r="BE39" s="1251"/>
      <c r="BF39" s="1251"/>
      <c r="BG39" s="1251"/>
      <c r="BH39" s="1251"/>
      <c r="BI39" s="1251"/>
      <c r="BJ39" s="1251"/>
      <c r="BK39" s="1251"/>
      <c r="BL39" s="1025"/>
      <c r="BM39" s="1025"/>
      <c r="BN39" s="1025"/>
      <c r="BO39" s="1025"/>
      <c r="BP39" s="1025"/>
      <c r="BQ39" s="1226"/>
      <c r="BS39" s="1181"/>
      <c r="BT39" s="1181"/>
      <c r="BU39" s="1181"/>
      <c r="BV39" s="1181"/>
    </row>
    <row r="40" spans="1:74" ht="12.75" customHeight="1" x14ac:dyDescent="0.2">
      <c r="A40" s="969" t="s">
        <v>306</v>
      </c>
      <c r="B40" s="1244"/>
      <c r="C40" s="1245">
        <v>2.9884651604961174</v>
      </c>
      <c r="D40" s="975"/>
      <c r="E40" s="926"/>
      <c r="F40" s="926" t="e">
        <v>#DIV/0!</v>
      </c>
      <c r="G40" s="926" t="e">
        <v>#DIV/0!</v>
      </c>
      <c r="H40" s="926" t="e">
        <v>#DIV/0!</v>
      </c>
      <c r="I40" s="926">
        <v>0.50379095008463848</v>
      </c>
      <c r="J40" s="975">
        <v>0.54662683379155574</v>
      </c>
      <c r="K40" s="975">
        <v>0.59880469933276026</v>
      </c>
      <c r="L40" s="975">
        <v>0.47265455177810622</v>
      </c>
      <c r="M40" s="975">
        <v>0.4739062984796773</v>
      </c>
      <c r="N40" s="975">
        <v>0.52083398691170102</v>
      </c>
      <c r="O40" s="975">
        <v>0.50869389405580268</v>
      </c>
      <c r="P40" s="975">
        <v>0.47026345866424407</v>
      </c>
      <c r="Q40" s="975">
        <v>0.46771737008005804</v>
      </c>
      <c r="R40" s="975">
        <v>0.44901129867833856</v>
      </c>
      <c r="S40" s="975">
        <v>0.46071457771237023</v>
      </c>
      <c r="T40" s="975">
        <v>0.4551309879944116</v>
      </c>
      <c r="U40" s="975">
        <v>0.41198573235980063</v>
      </c>
      <c r="V40" s="975">
        <v>0.49570446177522937</v>
      </c>
      <c r="W40" s="975">
        <v>0.45931471698113208</v>
      </c>
      <c r="X40" s="975">
        <v>0.47807842810756807</v>
      </c>
      <c r="Y40" s="975">
        <v>0.46517803378051548</v>
      </c>
      <c r="Z40" s="975">
        <v>0.53407271794599664</v>
      </c>
      <c r="AA40" s="975">
        <v>0.42468022354965218</v>
      </c>
      <c r="AB40" s="975">
        <v>0.45946840983700971</v>
      </c>
      <c r="AC40" s="975">
        <v>0.48571017796810334</v>
      </c>
      <c r="AD40" s="975">
        <v>0.48633152389617207</v>
      </c>
      <c r="AE40" s="975">
        <v>0.45208091900223901</v>
      </c>
      <c r="AF40" s="975">
        <v>0.4398894423646133</v>
      </c>
      <c r="AG40" s="1251"/>
      <c r="AH40" s="975"/>
      <c r="AI40" s="975"/>
      <c r="AJ40" s="975"/>
      <c r="AK40" s="1251"/>
      <c r="AL40" s="975"/>
      <c r="AM40" s="975"/>
      <c r="AN40" s="975"/>
      <c r="AO40" s="1251"/>
      <c r="AP40" s="1235"/>
      <c r="AQ40" s="1235"/>
      <c r="AR40" s="1235"/>
      <c r="AS40" s="1235"/>
      <c r="AT40" s="1348"/>
      <c r="AU40" s="1348"/>
      <c r="AV40" s="1348"/>
      <c r="AW40" s="1348"/>
      <c r="AX40" s="975"/>
      <c r="AY40" s="975">
        <v>0.52120352452702579</v>
      </c>
      <c r="AZ40" s="975">
        <v>0.48917558982556009</v>
      </c>
      <c r="BA40" s="1245">
        <v>3.2027934701465699</v>
      </c>
      <c r="BB40" s="975"/>
      <c r="BC40" s="1251"/>
      <c r="BD40" s="975">
        <v>0.52120352452702579</v>
      </c>
      <c r="BE40" s="975">
        <v>0.48917558982556009</v>
      </c>
      <c r="BF40" s="975">
        <v>0.44563568749086541</v>
      </c>
      <c r="BG40" s="975">
        <v>0.47493590963952292</v>
      </c>
      <c r="BH40" s="975">
        <v>0.48017950235221979</v>
      </c>
      <c r="BI40" s="975">
        <v>0.45894319810487078</v>
      </c>
      <c r="BJ40" s="975" t="e">
        <f t="shared" ref="BJ40:BL41" si="1">BJ21/BJ$19</f>
        <v>#REF!</v>
      </c>
      <c r="BK40" s="975" t="e">
        <f t="shared" si="1"/>
        <v>#REF!</v>
      </c>
      <c r="BL40" s="975" t="e">
        <f t="shared" si="1"/>
        <v>#REF!</v>
      </c>
      <c r="BM40" s="1025"/>
      <c r="BN40" s="1025"/>
      <c r="BO40" s="1025"/>
      <c r="BP40" s="1025"/>
      <c r="BQ40" s="1226"/>
      <c r="BS40" s="1181"/>
      <c r="BT40" s="1181"/>
      <c r="BU40" s="1181"/>
      <c r="BV40" s="1181"/>
    </row>
    <row r="41" spans="1:74" x14ac:dyDescent="0.2">
      <c r="A41" s="969" t="s">
        <v>307</v>
      </c>
      <c r="B41" s="1244"/>
      <c r="C41" s="1245">
        <v>0.15447743296322994</v>
      </c>
      <c r="D41" s="975"/>
      <c r="E41" s="926"/>
      <c r="F41" s="1216" t="e">
        <v>#DIV/0!</v>
      </c>
      <c r="G41" s="1216" t="e">
        <v>#DIV/0!</v>
      </c>
      <c r="H41" s="1216" t="e">
        <v>#DIV/0!</v>
      </c>
      <c r="I41" s="1216">
        <v>5.5904066914180858E-2</v>
      </c>
      <c r="J41" s="1350">
        <v>5.9013270408936419E-2</v>
      </c>
      <c r="K41" s="1350">
        <v>5.684227762086045E-2</v>
      </c>
      <c r="L41" s="1350">
        <v>5.582123293626641E-2</v>
      </c>
      <c r="M41" s="1350">
        <v>5.4359292584548559E-2</v>
      </c>
      <c r="N41" s="1350">
        <v>6.0127118378205412E-2</v>
      </c>
      <c r="O41" s="1350">
        <v>8.5100032734484812E-2</v>
      </c>
      <c r="P41" s="1350">
        <v>4.9485684142660379E-2</v>
      </c>
      <c r="Q41" s="1350">
        <v>4.8732182208708751E-2</v>
      </c>
      <c r="R41" s="1350">
        <v>4.3169630181239586E-2</v>
      </c>
      <c r="S41" s="1350">
        <v>5.2326056741067779E-2</v>
      </c>
      <c r="T41" s="1350">
        <v>5.5078892739026448E-2</v>
      </c>
      <c r="U41" s="1350">
        <v>6.3122113317988504E-2</v>
      </c>
      <c r="V41" s="1350">
        <v>5.1475028734325995E-2</v>
      </c>
      <c r="W41" s="1350">
        <v>4.5343396226415096E-2</v>
      </c>
      <c r="X41" s="1350">
        <v>7.6246773790691863E-2</v>
      </c>
      <c r="Y41" s="1350">
        <v>0.10897227075744563</v>
      </c>
      <c r="Z41" s="1350">
        <v>5.0899024472215587E-2</v>
      </c>
      <c r="AA41" s="1350">
        <v>5.8676440730490165E-2</v>
      </c>
      <c r="AB41" s="1350">
        <v>7.1488222081437541E-2</v>
      </c>
      <c r="AC41" s="1350">
        <v>-1.1727615350647484E-2</v>
      </c>
      <c r="AD41" s="1350">
        <v>-2.3172600765703329E-2</v>
      </c>
      <c r="AE41" s="1350">
        <v>1.508792853204919E-2</v>
      </c>
      <c r="AF41" s="1350">
        <v>3.7148190546909647E-2</v>
      </c>
      <c r="AG41" s="1251"/>
      <c r="AH41" s="975"/>
      <c r="AI41" s="975"/>
      <c r="AJ41" s="975"/>
      <c r="AK41" s="1251"/>
      <c r="AL41" s="975"/>
      <c r="AM41" s="975"/>
      <c r="AN41" s="975"/>
      <c r="AO41" s="1251"/>
      <c r="AP41" s="1235"/>
      <c r="AQ41" s="1235"/>
      <c r="AR41" s="1235"/>
      <c r="AS41" s="1235"/>
      <c r="AT41" s="1348"/>
      <c r="AU41" s="1348"/>
      <c r="AV41" s="1348"/>
      <c r="AW41" s="1348"/>
      <c r="AX41" s="1350"/>
      <c r="AY41" s="1350">
        <v>5.6488248445337889E-2</v>
      </c>
      <c r="AZ41" s="1350">
        <v>5.8065094885867835E-2</v>
      </c>
      <c r="BA41" s="1245">
        <v>-0.15768464405299457</v>
      </c>
      <c r="BB41" s="975"/>
      <c r="BC41" s="1251"/>
      <c r="BD41" s="1350">
        <v>5.6488248445337889E-2</v>
      </c>
      <c r="BE41" s="1350">
        <v>5.8065094885867835E-2</v>
      </c>
      <c r="BF41" s="1350">
        <v>5.2417220156222091E-2</v>
      </c>
      <c r="BG41" s="1350">
        <v>6.586289560895546E-2</v>
      </c>
      <c r="BH41" s="1350">
        <v>4.0347866133657491E-2</v>
      </c>
      <c r="BI41" s="1350">
        <v>7.6358411121260055E-3</v>
      </c>
      <c r="BJ41" s="1350" t="e">
        <f t="shared" si="1"/>
        <v>#REF!</v>
      </c>
      <c r="BK41" s="1350" t="e">
        <f t="shared" si="1"/>
        <v>#REF!</v>
      </c>
      <c r="BL41" s="1350" t="e">
        <f t="shared" si="1"/>
        <v>#REF!</v>
      </c>
      <c r="BM41" s="1025"/>
      <c r="BN41" s="1025"/>
      <c r="BO41" s="1025"/>
      <c r="BP41" s="1025"/>
      <c r="BQ41" s="1226"/>
      <c r="BS41" s="1181"/>
      <c r="BT41" s="1181"/>
      <c r="BU41" s="1181"/>
      <c r="BV41" s="1181"/>
    </row>
    <row r="42" spans="1:74" ht="12.75" customHeight="1" x14ac:dyDescent="0.2">
      <c r="A42" s="1246" t="s">
        <v>76</v>
      </c>
      <c r="B42" s="1426"/>
      <c r="C42" s="1245">
        <v>3.1429425934593413</v>
      </c>
      <c r="D42" s="975"/>
      <c r="E42" s="926"/>
      <c r="F42" s="1216" t="e">
        <v>#DIV/0!</v>
      </c>
      <c r="G42" s="1216" t="e">
        <v>#DIV/0!</v>
      </c>
      <c r="H42" s="1216" t="e">
        <v>#DIV/0!</v>
      </c>
      <c r="I42" s="1216">
        <v>0.55969501699881929</v>
      </c>
      <c r="J42" s="1350">
        <v>0.60564010420049219</v>
      </c>
      <c r="K42" s="1350">
        <v>0.65564697695362073</v>
      </c>
      <c r="L42" s="1350">
        <v>0.52847578471437262</v>
      </c>
      <c r="M42" s="1350">
        <v>0.52826559106422588</v>
      </c>
      <c r="N42" s="1350">
        <v>0.58096110528990641</v>
      </c>
      <c r="O42" s="1350">
        <v>0.59379392679028753</v>
      </c>
      <c r="P42" s="1350">
        <v>0.51974914280690443</v>
      </c>
      <c r="Q42" s="1350">
        <v>0.51644955228876677</v>
      </c>
      <c r="R42" s="1350">
        <v>0.49218092885957815</v>
      </c>
      <c r="S42" s="1350">
        <v>0.51304063445343795</v>
      </c>
      <c r="T42" s="1350">
        <v>0.51020988073343809</v>
      </c>
      <c r="U42" s="1350">
        <v>0.47510784567778913</v>
      </c>
      <c r="V42" s="1350">
        <v>0.54717949050955539</v>
      </c>
      <c r="W42" s="1350">
        <v>0.50465811320754717</v>
      </c>
      <c r="X42" s="1350">
        <v>0.55432520189825996</v>
      </c>
      <c r="Y42" s="1350">
        <v>0.57415030453796112</v>
      </c>
      <c r="Z42" s="1350">
        <v>0.58497174241821226</v>
      </c>
      <c r="AA42" s="1350">
        <v>0.48335666428014235</v>
      </c>
      <c r="AB42" s="1350">
        <v>0.53095663191844722</v>
      </c>
      <c r="AC42" s="1350">
        <v>0.47398256261745586</v>
      </c>
      <c r="AD42" s="1350">
        <v>0.46315892313046875</v>
      </c>
      <c r="AE42" s="1350">
        <v>0.46716884753428817</v>
      </c>
      <c r="AF42" s="1350">
        <v>0.47703763291152296</v>
      </c>
      <c r="AG42" s="1350">
        <v>0.46380567777710807</v>
      </c>
      <c r="AH42" s="1350">
        <v>0.52271965124077802</v>
      </c>
      <c r="AI42" s="1350">
        <v>0.54756654319924192</v>
      </c>
      <c r="AJ42" s="1350">
        <v>0.54489964956992676</v>
      </c>
      <c r="AK42" s="1350">
        <v>0.52903610653005373</v>
      </c>
      <c r="AL42" s="1350">
        <v>0.46496952533399005</v>
      </c>
      <c r="AM42" s="1350">
        <v>0.58592893401015234</v>
      </c>
      <c r="AN42" s="1350">
        <v>0.51422792100932524</v>
      </c>
      <c r="AO42" s="1350">
        <v>0.50126439743112616</v>
      </c>
      <c r="AP42" s="1057">
        <v>0.51800000000000002</v>
      </c>
      <c r="AQ42" s="1057">
        <v>0.52900000000000003</v>
      </c>
      <c r="AR42" s="1057">
        <v>0.47399999999999998</v>
      </c>
      <c r="AS42" s="1057">
        <v>0.49199999999999999</v>
      </c>
      <c r="AT42" s="1057">
        <v>0.54400000000000004</v>
      </c>
      <c r="AU42" s="1057">
        <v>0.50800000000000001</v>
      </c>
      <c r="AV42" s="1057">
        <v>0.48699999999999999</v>
      </c>
      <c r="AW42" s="1057">
        <v>0.52700000000000002</v>
      </c>
      <c r="AX42" s="1350"/>
      <c r="AY42" s="1350">
        <v>0.57769177297236363</v>
      </c>
      <c r="AZ42" s="1350">
        <v>0.54724068471142795</v>
      </c>
      <c r="BA42" s="1245">
        <v>3.0451088260935677</v>
      </c>
      <c r="BB42" s="975"/>
      <c r="BC42" s="1251"/>
      <c r="BD42" s="1350">
        <v>0.57769177297236363</v>
      </c>
      <c r="BE42" s="1350">
        <v>0.54724068471142795</v>
      </c>
      <c r="BF42" s="1350">
        <v>0.49805290764708748</v>
      </c>
      <c r="BG42" s="1350">
        <v>0.54079880524847834</v>
      </c>
      <c r="BH42" s="1350">
        <v>0.52052736848587733</v>
      </c>
      <c r="BI42" s="1350">
        <v>0.46657903921699673</v>
      </c>
      <c r="BJ42" s="1350" t="e">
        <f>BJ23/BJ19</f>
        <v>#REF!</v>
      </c>
      <c r="BK42" s="1057">
        <v>0.51052276717949463</v>
      </c>
      <c r="BL42" s="1057">
        <v>0.50211981225181979</v>
      </c>
      <c r="BM42" s="1057">
        <v>0.51900000000000002</v>
      </c>
      <c r="BN42" s="1352">
        <v>0.52600000000000002</v>
      </c>
      <c r="BO42" s="1352">
        <v>0.52200000000000002</v>
      </c>
      <c r="BP42" s="1352">
        <v>0.56799999999999995</v>
      </c>
      <c r="BQ42" s="1226"/>
      <c r="BS42" s="1181"/>
      <c r="BT42" s="1181"/>
      <c r="BU42" s="1181"/>
      <c r="BV42" s="1181"/>
    </row>
    <row r="43" spans="1:74" ht="13.5" customHeight="1" x14ac:dyDescent="0.2">
      <c r="A43" s="1246" t="s">
        <v>207</v>
      </c>
      <c r="B43" s="1247"/>
      <c r="C43" s="1245">
        <v>3.3861221222092786</v>
      </c>
      <c r="D43" s="975"/>
      <c r="E43" s="926"/>
      <c r="F43" s="1216" t="e">
        <v>#DIV/0!</v>
      </c>
      <c r="G43" s="1216" t="e">
        <v>#DIV/0!</v>
      </c>
      <c r="H43" s="1216" t="e">
        <v>#DIV/0!</v>
      </c>
      <c r="I43" s="1216">
        <v>0.60605414017269088</v>
      </c>
      <c r="J43" s="1350">
        <v>0.66190404029470551</v>
      </c>
      <c r="K43" s="1350">
        <v>0.71715583937123906</v>
      </c>
      <c r="L43" s="1350">
        <v>0.58257384733343343</v>
      </c>
      <c r="M43" s="1350">
        <v>0.5721929189505981</v>
      </c>
      <c r="N43" s="1350">
        <v>0.62200164388031043</v>
      </c>
      <c r="O43" s="1350">
        <v>0.65307222767796969</v>
      </c>
      <c r="P43" s="1350">
        <v>0.55506256776953966</v>
      </c>
      <c r="Q43" s="1350">
        <v>0.55511171859745045</v>
      </c>
      <c r="R43" s="1350">
        <v>0.54110436678649299</v>
      </c>
      <c r="S43" s="1350">
        <v>0.5605020031068596</v>
      </c>
      <c r="T43" s="1350">
        <v>0.57804421782131332</v>
      </c>
      <c r="U43" s="1350">
        <v>0.54321448714235632</v>
      </c>
      <c r="V43" s="1350">
        <v>0.60873913128177826</v>
      </c>
      <c r="W43" s="1350">
        <v>0.55465056603773588</v>
      </c>
      <c r="X43" s="1350">
        <v>0.62650903338606279</v>
      </c>
      <c r="Y43" s="1350">
        <v>0.66112871541248364</v>
      </c>
      <c r="Z43" s="1350">
        <v>0.62903411251735697</v>
      </c>
      <c r="AA43" s="1350">
        <v>0.5286756927154016</v>
      </c>
      <c r="AB43" s="1350">
        <v>0.57965213384783731</v>
      </c>
      <c r="AC43" s="1350">
        <v>0.5274962260081949</v>
      </c>
      <c r="AD43" s="1350">
        <v>0.48948226486984875</v>
      </c>
      <c r="AE43" s="1350">
        <v>0.48908628584930075</v>
      </c>
      <c r="AF43" s="1350">
        <v>0.51987871662386687</v>
      </c>
      <c r="AG43" s="1350">
        <v>0.50419906374942236</v>
      </c>
      <c r="AH43" s="1350">
        <v>0.57168008048289742</v>
      </c>
      <c r="AI43" s="1350">
        <v>0.58582134550779563</v>
      </c>
      <c r="AJ43" s="1350">
        <v>0.58791971965594136</v>
      </c>
      <c r="AK43" s="1350">
        <v>0.56885036901879593</v>
      </c>
      <c r="AL43" s="1350">
        <v>0.51903897063350368</v>
      </c>
      <c r="AM43" s="1350">
        <v>0.65522842639593903</v>
      </c>
      <c r="AN43" s="1350">
        <v>0.58140770707624789</v>
      </c>
      <c r="AO43" s="1350">
        <v>0.54156289065109309</v>
      </c>
      <c r="AP43" s="1057">
        <v>0.56100000000000005</v>
      </c>
      <c r="AQ43" s="1057">
        <v>0.55900000000000005</v>
      </c>
      <c r="AR43" s="1057">
        <v>0.51</v>
      </c>
      <c r="AS43" s="1057">
        <v>0.51700000000000002</v>
      </c>
      <c r="AT43" s="1057">
        <v>0.56399999999999995</v>
      </c>
      <c r="AU43" s="1057">
        <v>0.53900000000000003</v>
      </c>
      <c r="AV43" s="1057">
        <v>0.51100000000000001</v>
      </c>
      <c r="AW43" s="1057">
        <v>0.55300000000000005</v>
      </c>
      <c r="AX43" s="1350"/>
      <c r="AY43" s="1350">
        <v>0.63128299547222277</v>
      </c>
      <c r="AZ43" s="1350">
        <v>0.58908180491106743</v>
      </c>
      <c r="BA43" s="1245">
        <v>4.220119056115534</v>
      </c>
      <c r="BB43" s="975"/>
      <c r="BC43" s="1251"/>
      <c r="BD43" s="1350">
        <v>0.63128299547222277</v>
      </c>
      <c r="BE43" s="1350">
        <v>0.58908180491106743</v>
      </c>
      <c r="BF43" s="1350">
        <v>0.55454781662579777</v>
      </c>
      <c r="BG43" s="1350">
        <v>0.60593531263342537</v>
      </c>
      <c r="BH43" s="1350">
        <v>0.56823043989321964</v>
      </c>
      <c r="BI43" s="1350">
        <v>0.49699244770200729</v>
      </c>
      <c r="BJ43" s="1350" t="e">
        <f>(BJ23+BJ24)/BJ19</f>
        <v>#REF!</v>
      </c>
      <c r="BK43" s="1057">
        <v>0.56485103713345186</v>
      </c>
      <c r="BL43" s="1057">
        <v>0.53407685072351629</v>
      </c>
      <c r="BM43" s="1057">
        <v>0.54400000000000004</v>
      </c>
      <c r="BN43" s="1352">
        <v>0.55200000000000005</v>
      </c>
      <c r="BO43" s="1352">
        <v>0.59099999999999997</v>
      </c>
      <c r="BP43" s="1352">
        <v>0.627</v>
      </c>
      <c r="BQ43" s="1226"/>
      <c r="BS43" s="1181"/>
      <c r="BT43" s="1181"/>
      <c r="BU43" s="1181"/>
      <c r="BV43" s="1181"/>
    </row>
    <row r="44" spans="1:74" ht="12.75" customHeight="1" x14ac:dyDescent="0.2">
      <c r="A44" s="1246" t="s">
        <v>77</v>
      </c>
      <c r="B44" s="1247"/>
      <c r="C44" s="1245">
        <v>-2.0273156444382545</v>
      </c>
      <c r="D44" s="975"/>
      <c r="E44" s="926"/>
      <c r="F44" s="1216" t="e">
        <v>#DIV/0!</v>
      </c>
      <c r="G44" s="1216" t="e">
        <v>#DIV/0!</v>
      </c>
      <c r="H44" s="1216" t="e">
        <v>#DIV/0!</v>
      </c>
      <c r="I44" s="1216">
        <v>0.31590776540206833</v>
      </c>
      <c r="J44" s="1350">
        <v>0.39321253580989907</v>
      </c>
      <c r="K44" s="1350">
        <v>3.0665356748127226</v>
      </c>
      <c r="L44" s="1350">
        <v>0.3989297373350934</v>
      </c>
      <c r="M44" s="1350">
        <v>0.33618092184645088</v>
      </c>
      <c r="N44" s="1350">
        <v>0.50437636075016157</v>
      </c>
      <c r="O44" s="1350">
        <v>0.57935224231220994</v>
      </c>
      <c r="P44" s="1350">
        <v>0.276980335843859</v>
      </c>
      <c r="Q44" s="1350">
        <v>0.28048202181371867</v>
      </c>
      <c r="R44" s="1350">
        <v>0.26141252230002304</v>
      </c>
      <c r="S44" s="1350">
        <v>0.26392538864945048</v>
      </c>
      <c r="T44" s="1350">
        <v>0.40769273271187378</v>
      </c>
      <c r="U44" s="1350">
        <v>0.3485968629483408</v>
      </c>
      <c r="V44" s="1350">
        <v>0.31023980986642596</v>
      </c>
      <c r="W44" s="1350">
        <v>0.32202264150943394</v>
      </c>
      <c r="X44" s="1350">
        <v>0.42322038131712597</v>
      </c>
      <c r="Y44" s="1350">
        <v>0.53357814829073746</v>
      </c>
      <c r="Z44" s="1350">
        <v>0.60033431505213719</v>
      </c>
      <c r="AA44" s="1350">
        <v>0.35996623246171766</v>
      </c>
      <c r="AB44" s="1350">
        <v>0.45720785578529055</v>
      </c>
      <c r="AC44" s="1350">
        <v>0.30402456432217051</v>
      </c>
      <c r="AD44" s="1350">
        <v>0.17368154313034664</v>
      </c>
      <c r="AE44" s="1350">
        <v>0.17640274980591591</v>
      </c>
      <c r="AF44" s="1350">
        <v>0.28057093943050443</v>
      </c>
      <c r="AG44" s="1350">
        <v>0.36539891105619515</v>
      </c>
      <c r="AH44" s="1350">
        <v>0.28268420044073966</v>
      </c>
      <c r="AI44" s="1350">
        <v>0.17315875613747955</v>
      </c>
      <c r="AJ44" s="1350">
        <v>0.22785600509716469</v>
      </c>
      <c r="AK44" s="1350">
        <v>0.23973940606103139</v>
      </c>
      <c r="AL44" s="1350">
        <v>0.32039955673213077</v>
      </c>
      <c r="AM44" s="1350">
        <v>1.2893401015228427</v>
      </c>
      <c r="AN44" s="1350">
        <v>0.50111423477783867</v>
      </c>
      <c r="AO44" s="1350">
        <v>0.26975084213640221</v>
      </c>
      <c r="AP44" s="1057">
        <v>0.40299999999999991</v>
      </c>
      <c r="AQ44" s="1057">
        <v>0.23899999999999999</v>
      </c>
      <c r="AR44" s="1057">
        <v>0.32199999999999995</v>
      </c>
      <c r="AS44" s="1057">
        <v>0.16900000000000004</v>
      </c>
      <c r="AT44" s="1057">
        <v>0.21100000000000008</v>
      </c>
      <c r="AU44" s="1057">
        <v>0.20399999999999996</v>
      </c>
      <c r="AV44" s="1057">
        <v>0.249</v>
      </c>
      <c r="AW44" s="1057">
        <v>0.17899999999999994</v>
      </c>
      <c r="AX44" s="1350"/>
      <c r="AY44" s="1350">
        <v>0.99250380446014241</v>
      </c>
      <c r="AZ44" s="1350">
        <v>0.38834131184707349</v>
      </c>
      <c r="BA44" s="1245">
        <v>60.416249261306888</v>
      </c>
      <c r="BB44" s="975"/>
      <c r="BC44" s="1251"/>
      <c r="BD44" s="1350">
        <v>0.99250380446014241</v>
      </c>
      <c r="BE44" s="1350">
        <v>0.38834131184707349</v>
      </c>
      <c r="BF44" s="1350">
        <v>0.31078289676675491</v>
      </c>
      <c r="BG44" s="1350">
        <v>0.38074572161032694</v>
      </c>
      <c r="BH44" s="1350">
        <v>0.43623302104279515</v>
      </c>
      <c r="BI44" s="1350">
        <v>0.22905666822613824</v>
      </c>
      <c r="BJ44" s="1350" t="e">
        <f>(BJ25+BJ26+BJ27+BJ28+BJ29+BJ30+BJ31+BJ33+#REF!+BJ34+BJ32)/BJ19</f>
        <v>#REF!</v>
      </c>
      <c r="BK44" s="1057">
        <v>0.51133040803891094</v>
      </c>
      <c r="BL44" s="1057">
        <v>0.26071837309622325</v>
      </c>
      <c r="BM44" s="1057">
        <v>0.20899999999999996</v>
      </c>
      <c r="BN44" s="1352">
        <v>0.1419999999999999</v>
      </c>
      <c r="BO44" s="1352">
        <v>0.13400000000000001</v>
      </c>
      <c r="BP44" s="1352">
        <v>0.10299999999999998</v>
      </c>
      <c r="BQ44" s="1226"/>
      <c r="BS44" s="1181"/>
      <c r="BT44" s="1181"/>
      <c r="BU44" s="1181"/>
      <c r="BV44" s="1181"/>
    </row>
    <row r="45" spans="1:74" ht="12.75" customHeight="1" x14ac:dyDescent="0.2">
      <c r="A45" s="1246" t="s">
        <v>78</v>
      </c>
      <c r="B45" s="1246"/>
      <c r="C45" s="1245">
        <v>1.358806477771024</v>
      </c>
      <c r="D45" s="975"/>
      <c r="E45" s="926"/>
      <c r="F45" s="1216" t="e">
        <v>#DIV/0!</v>
      </c>
      <c r="G45" s="1216" t="e">
        <v>#DIV/0!</v>
      </c>
      <c r="H45" s="1216" t="e">
        <v>#DIV/0!</v>
      </c>
      <c r="I45" s="1216">
        <v>0.92196190557475921</v>
      </c>
      <c r="J45" s="1350">
        <v>1.0551165761046046</v>
      </c>
      <c r="K45" s="1350">
        <v>3.7836915141839618</v>
      </c>
      <c r="L45" s="1350">
        <v>0.98150358466852683</v>
      </c>
      <c r="M45" s="1350">
        <v>0.90837384079704897</v>
      </c>
      <c r="N45" s="1350">
        <v>1.1263780046304721</v>
      </c>
      <c r="O45" s="1350">
        <v>1.2324244699901796</v>
      </c>
      <c r="P45" s="1350">
        <v>0.83194290361339862</v>
      </c>
      <c r="Q45" s="1350">
        <v>0.83559374041116907</v>
      </c>
      <c r="R45" s="1350">
        <v>0.80251688908651608</v>
      </c>
      <c r="S45" s="1350">
        <v>0.82442739175631008</v>
      </c>
      <c r="T45" s="1350">
        <v>0.985736950533187</v>
      </c>
      <c r="U45" s="1350">
        <v>0.89181135009069712</v>
      </c>
      <c r="V45" s="1350">
        <v>0.91897894114820422</v>
      </c>
      <c r="W45" s="1350">
        <v>0.87667320754716982</v>
      </c>
      <c r="X45" s="1350">
        <v>1.0497294147031888</v>
      </c>
      <c r="Y45" s="1350">
        <v>1.194706863703221</v>
      </c>
      <c r="Z45" s="1350">
        <v>1.2293684275694943</v>
      </c>
      <c r="AA45" s="1350">
        <v>0.88864192517711926</v>
      </c>
      <c r="AB45" s="1350">
        <v>1.0368599896331279</v>
      </c>
      <c r="AC45" s="1350">
        <v>0.83152079033036552</v>
      </c>
      <c r="AD45" s="1350">
        <v>0.66316380800019537</v>
      </c>
      <c r="AE45" s="1350">
        <v>0.66548903565521667</v>
      </c>
      <c r="AF45" s="1350">
        <v>0.80044965605437124</v>
      </c>
      <c r="AG45" s="1350">
        <v>0.86959797480561751</v>
      </c>
      <c r="AH45" s="1350">
        <v>0.85436428092363703</v>
      </c>
      <c r="AI45" s="1350">
        <v>0.75898010164527518</v>
      </c>
      <c r="AJ45" s="1350">
        <v>0.81577572475310611</v>
      </c>
      <c r="AK45" s="1350">
        <v>0.80858977507982732</v>
      </c>
      <c r="AL45" s="1350">
        <v>0.8394385273656344</v>
      </c>
      <c r="AM45" s="1350">
        <v>1.9445685279187817</v>
      </c>
      <c r="AN45" s="1350">
        <v>1.0825219418540866</v>
      </c>
      <c r="AO45" s="1350">
        <v>0.8113137327874953</v>
      </c>
      <c r="AP45" s="1057">
        <v>0.96399999999999997</v>
      </c>
      <c r="AQ45" s="1057">
        <v>0.79800000000000004</v>
      </c>
      <c r="AR45" s="1057">
        <v>0.83199999999999996</v>
      </c>
      <c r="AS45" s="1057">
        <v>0.68600000000000005</v>
      </c>
      <c r="AT45" s="1057">
        <v>0.77500000000000002</v>
      </c>
      <c r="AU45" s="1057">
        <v>0.74299999999999999</v>
      </c>
      <c r="AV45" s="1057">
        <v>0.76</v>
      </c>
      <c r="AW45" s="1057">
        <v>0.73199999999999998</v>
      </c>
      <c r="AX45" s="1350"/>
      <c r="AY45" s="1350">
        <v>1.6237867999323652</v>
      </c>
      <c r="AZ45" s="1350">
        <v>0.97742311675814098</v>
      </c>
      <c r="BA45" s="1245">
        <v>64.626368317422418</v>
      </c>
      <c r="BB45" s="975"/>
      <c r="BC45" s="1251"/>
      <c r="BD45" s="1350">
        <v>1.6237867999323652</v>
      </c>
      <c r="BE45" s="1350">
        <v>0.97742311675814098</v>
      </c>
      <c r="BF45" s="1350">
        <v>0.86533071339255263</v>
      </c>
      <c r="BG45" s="1350">
        <v>0.9866810342437522</v>
      </c>
      <c r="BH45" s="1350">
        <v>1.0044634609360148</v>
      </c>
      <c r="BI45" s="1350">
        <v>0.72604911592814547</v>
      </c>
      <c r="BJ45" s="1350" t="e">
        <f>BJ35/BJ19</f>
        <v>#REF!</v>
      </c>
      <c r="BK45" s="1057">
        <v>1.0761814451723628</v>
      </c>
      <c r="BL45" s="1057">
        <v>0.79479522381973955</v>
      </c>
      <c r="BM45" s="1057">
        <v>0.753</v>
      </c>
      <c r="BN45" s="1352">
        <v>0.69399999999999995</v>
      </c>
      <c r="BO45" s="1352">
        <v>0.72499999999999998</v>
      </c>
      <c r="BP45" s="1352">
        <v>0.73</v>
      </c>
      <c r="BQ45" s="1226"/>
      <c r="BS45" s="1181"/>
      <c r="BT45" s="1181"/>
      <c r="BU45" s="1181"/>
      <c r="BV45" s="1181"/>
    </row>
    <row r="46" spans="1:74" ht="12.75" customHeight="1" x14ac:dyDescent="0.2">
      <c r="A46" s="1246" t="s">
        <v>178</v>
      </c>
      <c r="B46" s="1246"/>
      <c r="C46" s="1245">
        <v>-1.3588064777710254</v>
      </c>
      <c r="D46" s="975"/>
      <c r="E46" s="926"/>
      <c r="F46" s="1216" t="e">
        <v>#DIV/0!</v>
      </c>
      <c r="G46" s="1216" t="e">
        <v>#DIV/0!</v>
      </c>
      <c r="H46" s="1216" t="e">
        <v>#DIV/0!</v>
      </c>
      <c r="I46" s="1216">
        <v>7.8038094425240762E-2</v>
      </c>
      <c r="J46" s="1350">
        <v>-5.5116576104604596E-2</v>
      </c>
      <c r="K46" s="1350">
        <v>-2.7836915141839618</v>
      </c>
      <c r="L46" s="1350">
        <v>1.8496415331473153E-2</v>
      </c>
      <c r="M46" s="1350">
        <v>9.1626159202951016E-2</v>
      </c>
      <c r="N46" s="1350">
        <v>-0.12637800463047202</v>
      </c>
      <c r="O46" s="1350">
        <v>-0.23242446999017966</v>
      </c>
      <c r="P46" s="1350">
        <v>0.16795709638660142</v>
      </c>
      <c r="Q46" s="1350">
        <v>0.16440625958883093</v>
      </c>
      <c r="R46" s="1350">
        <v>0.19748311091348394</v>
      </c>
      <c r="S46" s="1350">
        <v>0.17557260824368992</v>
      </c>
      <c r="T46" s="1350">
        <v>1.4263049466812954E-2</v>
      </c>
      <c r="U46" s="1350">
        <v>0.10818864990930292</v>
      </c>
      <c r="V46" s="1350">
        <v>8.1021058851795807E-2</v>
      </c>
      <c r="W46" s="1350">
        <v>0.12332679245283019</v>
      </c>
      <c r="X46" s="1350">
        <v>-4.9729414703188743E-2</v>
      </c>
      <c r="Y46" s="1350">
        <v>-0.1947068637032211</v>
      </c>
      <c r="Z46" s="1350">
        <v>-0.22936842756949419</v>
      </c>
      <c r="AA46" s="1350">
        <v>0.11135807482288071</v>
      </c>
      <c r="AB46" s="1350">
        <v>-3.6859989633127914E-2</v>
      </c>
      <c r="AC46" s="1350">
        <v>0.16847920966963451</v>
      </c>
      <c r="AD46" s="1350">
        <v>0.33683619199980458</v>
      </c>
      <c r="AE46" s="1350">
        <v>0.33451096434478333</v>
      </c>
      <c r="AF46" s="1350">
        <v>0.19955034394562873</v>
      </c>
      <c r="AG46" s="1350">
        <v>0.13040202519438249</v>
      </c>
      <c r="AH46" s="1350">
        <v>0.14563571907636294</v>
      </c>
      <c r="AI46" s="1350">
        <v>0.24101989835472479</v>
      </c>
      <c r="AJ46" s="1350">
        <v>0.18422427524689391</v>
      </c>
      <c r="AK46" s="1350">
        <v>0.19141022492017265</v>
      </c>
      <c r="AL46" s="1350">
        <v>0.16056147263436557</v>
      </c>
      <c r="AM46" s="1350">
        <v>-0.94456852791878176</v>
      </c>
      <c r="AN46" s="1350">
        <v>-8.2521941854086664E-2</v>
      </c>
      <c r="AO46" s="1350">
        <v>0.18868626721250464</v>
      </c>
      <c r="AP46" s="1057">
        <v>3.6000000000000032E-2</v>
      </c>
      <c r="AQ46" s="1057">
        <v>0.20199999999999996</v>
      </c>
      <c r="AR46" s="1057">
        <v>0.16800000000000004</v>
      </c>
      <c r="AS46" s="1057">
        <v>0.31399999999999995</v>
      </c>
      <c r="AT46" s="1057">
        <v>0.22500000000000001</v>
      </c>
      <c r="AU46" s="1057">
        <v>0.25700000000000001</v>
      </c>
      <c r="AV46" s="1057">
        <v>0.24</v>
      </c>
      <c r="AW46" s="1057">
        <v>0.26800000000000002</v>
      </c>
      <c r="AX46" s="1350"/>
      <c r="AY46" s="1350">
        <v>-0.62378679993236519</v>
      </c>
      <c r="AZ46" s="1350">
        <v>2.2576883241859063E-2</v>
      </c>
      <c r="BA46" s="1245">
        <v>-64.636368317422424</v>
      </c>
      <c r="BB46" s="975"/>
      <c r="BC46" s="1251"/>
      <c r="BD46" s="1350">
        <v>-0.62378679993236519</v>
      </c>
      <c r="BE46" s="1350">
        <v>2.2576883241859063E-2</v>
      </c>
      <c r="BF46" s="1350">
        <v>0.13466928660744734</v>
      </c>
      <c r="BG46" s="1350">
        <v>1.3318965756247771E-2</v>
      </c>
      <c r="BH46" s="1350">
        <v>-4.4634609360148011E-3</v>
      </c>
      <c r="BI46" s="1350">
        <v>0.27395088407185453</v>
      </c>
      <c r="BJ46" s="1350" t="e">
        <f>BJ36/BJ19</f>
        <v>#REF!</v>
      </c>
      <c r="BK46" s="1057">
        <v>-7.6181445172362819E-2</v>
      </c>
      <c r="BL46" s="1057">
        <v>0.20520477618026051</v>
      </c>
      <c r="BM46" s="1057">
        <v>0.247</v>
      </c>
      <c r="BN46" s="1352">
        <v>0.30600000000000005</v>
      </c>
      <c r="BO46" s="1352">
        <v>0.27500000000000002</v>
      </c>
      <c r="BP46" s="1352">
        <v>0.27</v>
      </c>
      <c r="BQ46" s="1226"/>
      <c r="BS46" s="1181"/>
      <c r="BT46" s="1181"/>
      <c r="BU46" s="1181"/>
      <c r="BV46" s="1181"/>
    </row>
    <row r="47" spans="1:74" ht="12.75" customHeight="1" x14ac:dyDescent="0.2">
      <c r="A47" s="1246" t="s">
        <v>79</v>
      </c>
      <c r="B47" s="1246"/>
      <c r="C47" s="1245">
        <v>-1.183152445374315</v>
      </c>
      <c r="D47" s="975"/>
      <c r="E47" s="926"/>
      <c r="F47" s="1412" t="e">
        <v>#DIV/0!</v>
      </c>
      <c r="G47" s="1412" t="e">
        <v>#DIV/0!</v>
      </c>
      <c r="H47" s="1412" t="e">
        <v>#DIV/0!</v>
      </c>
      <c r="I47" s="1412">
        <v>5.2290928747208351E-2</v>
      </c>
      <c r="J47" s="1522">
        <v>-9.1673341559687982E-2</v>
      </c>
      <c r="K47" s="1522">
        <v>-2.8157681444185192</v>
      </c>
      <c r="L47" s="1522">
        <v>-1.4022496067535629E-2</v>
      </c>
      <c r="M47" s="1522">
        <v>6.4122453200951501E-2</v>
      </c>
      <c r="N47" s="1522">
        <v>-0.14596653260467188</v>
      </c>
      <c r="O47" s="1522">
        <v>-0.25839061868176305</v>
      </c>
      <c r="P47" s="1522">
        <v>0.14807607771884065</v>
      </c>
      <c r="Q47" s="1522">
        <v>0.14934865686630031</v>
      </c>
      <c r="R47" s="1522">
        <v>0.18545583122163947</v>
      </c>
      <c r="S47" s="1522">
        <v>0.16298165084037047</v>
      </c>
      <c r="T47" s="1522">
        <v>-2.052237333354382E-4</v>
      </c>
      <c r="U47" s="1522">
        <v>9.0636098958889078E-2</v>
      </c>
      <c r="V47" s="1522">
        <v>7.7709306025442057E-2</v>
      </c>
      <c r="W47" s="1522">
        <v>0.11820679245283019</v>
      </c>
      <c r="X47" s="1522">
        <v>-5.3925568229123304E-2</v>
      </c>
      <c r="Y47" s="1522">
        <v>-0.21152802045389482</v>
      </c>
      <c r="Z47" s="1522">
        <v>-0.25684770976500659</v>
      </c>
      <c r="AA47" s="1522">
        <v>8.341436830125773E-2</v>
      </c>
      <c r="AB47" s="1522">
        <v>-8.1552727063295513E-2</v>
      </c>
      <c r="AC47" s="1522">
        <v>0.13725006931821682</v>
      </c>
      <c r="AD47" s="1522">
        <v>0.32127177583332822</v>
      </c>
      <c r="AE47" s="1522">
        <v>0.31913050326848863</v>
      </c>
      <c r="AF47" s="1522">
        <v>0.16960077555356168</v>
      </c>
      <c r="AG47" s="1522">
        <v>0.10311815643019308</v>
      </c>
      <c r="AH47" s="1522">
        <v>0.11329884066302577</v>
      </c>
      <c r="AI47" s="1522">
        <v>0.22059608924110605</v>
      </c>
      <c r="AJ47" s="1522">
        <v>0.15630455559095252</v>
      </c>
      <c r="AK47" s="1522" t="s">
        <v>177</v>
      </c>
      <c r="AL47" s="1522" t="s">
        <v>177</v>
      </c>
      <c r="AM47" s="1522" t="s">
        <v>177</v>
      </c>
      <c r="AN47" s="1522" t="s">
        <v>177</v>
      </c>
      <c r="AO47" s="1522" t="s">
        <v>177</v>
      </c>
      <c r="AP47" s="1522" t="s">
        <v>177</v>
      </c>
      <c r="AQ47" s="975" t="s">
        <v>177</v>
      </c>
      <c r="AR47" s="975" t="s">
        <v>177</v>
      </c>
      <c r="AS47" s="975"/>
      <c r="AT47" s="975"/>
      <c r="AU47" s="975"/>
      <c r="AV47" s="975"/>
      <c r="AW47" s="975"/>
      <c r="AX47" s="1522"/>
      <c r="AY47" s="1522">
        <v>-0.6558889285512991</v>
      </c>
      <c r="AZ47" s="1522">
        <v>3.1511731269521534E-3</v>
      </c>
      <c r="BA47" s="1245">
        <v>-65.90401016782512</v>
      </c>
      <c r="BB47" s="975"/>
      <c r="BC47" s="1517"/>
      <c r="BD47" s="1522">
        <v>-0.6558889285512991</v>
      </c>
      <c r="BE47" s="1522">
        <v>3.1511731269521534E-3</v>
      </c>
      <c r="BF47" s="1522">
        <v>0.12080579418308189</v>
      </c>
      <c r="BG47" s="1522">
        <v>6.7278705735139997E-3</v>
      </c>
      <c r="BH47" s="1522">
        <v>-3.6237840616691254E-2</v>
      </c>
      <c r="BI47" s="1522">
        <v>0.25370931450085771</v>
      </c>
      <c r="BJ47" s="1522" t="e">
        <f>BJ38/BJ19</f>
        <v>#REF!</v>
      </c>
      <c r="BK47" s="975" t="s">
        <v>177</v>
      </c>
      <c r="BL47" s="975" t="s">
        <v>177</v>
      </c>
      <c r="BM47" s="975" t="s">
        <v>177</v>
      </c>
      <c r="BN47" s="975" t="s">
        <v>177</v>
      </c>
      <c r="BO47" s="1074" t="s">
        <v>177</v>
      </c>
      <c r="BP47" s="1352"/>
      <c r="BQ47" s="1226"/>
      <c r="BS47" s="1181"/>
      <c r="BT47" s="1181"/>
      <c r="BU47" s="1181"/>
      <c r="BV47" s="1181"/>
    </row>
    <row r="48" spans="1:74" ht="12.75" customHeight="1" x14ac:dyDescent="0.2">
      <c r="A48" s="1247"/>
      <c r="B48" s="1247"/>
      <c r="C48" s="1245"/>
      <c r="D48" s="975"/>
      <c r="E48" s="926"/>
      <c r="F48" s="926"/>
      <c r="G48" s="926"/>
      <c r="H48" s="926"/>
      <c r="I48" s="926"/>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c r="AL48" s="975"/>
      <c r="AM48" s="975"/>
      <c r="AN48" s="975"/>
      <c r="AO48" s="1350"/>
      <c r="AP48" s="1350"/>
      <c r="AQ48" s="1235"/>
      <c r="AR48" s="1235"/>
      <c r="AS48" s="1235"/>
      <c r="AT48" s="1350"/>
      <c r="AU48" s="1350"/>
      <c r="AV48" s="1350"/>
      <c r="AW48" s="1350"/>
      <c r="AX48" s="1251"/>
      <c r="AY48" s="1251"/>
      <c r="AZ48" s="1251"/>
      <c r="BA48" s="1025"/>
      <c r="BB48" s="975"/>
      <c r="BC48" s="1251"/>
      <c r="BD48" s="1251"/>
      <c r="BE48" s="1057"/>
      <c r="BF48" s="1057"/>
      <c r="BG48" s="1057"/>
      <c r="BH48" s="1057"/>
      <c r="BI48" s="1057"/>
      <c r="BJ48" s="1057"/>
      <c r="BK48" s="1057"/>
      <c r="BL48" s="1057"/>
      <c r="BM48" s="981"/>
      <c r="BN48" s="1353"/>
      <c r="BO48" s="1353"/>
      <c r="BP48" s="1353"/>
      <c r="BQ48" s="1226"/>
      <c r="BS48" s="1181"/>
      <c r="BT48" s="1181"/>
      <c r="BU48" s="1181"/>
      <c r="BV48" s="1181"/>
    </row>
    <row r="49" spans="1:74" ht="12.75" customHeight="1" x14ac:dyDescent="0.2">
      <c r="A49" s="1247" t="s">
        <v>88</v>
      </c>
      <c r="B49" s="1247"/>
      <c r="C49" s="1277">
        <v>-88</v>
      </c>
      <c r="D49" s="975">
        <v>-9.7669256381798006E-2</v>
      </c>
      <c r="F49" s="1202">
        <v>0</v>
      </c>
      <c r="G49" s="1202">
        <v>0</v>
      </c>
      <c r="H49" s="1202">
        <v>0</v>
      </c>
      <c r="I49" s="1202">
        <v>813</v>
      </c>
      <c r="J49" s="1307">
        <v>841</v>
      </c>
      <c r="K49" s="1307">
        <v>854</v>
      </c>
      <c r="L49" s="1307">
        <v>878</v>
      </c>
      <c r="M49" s="1307">
        <v>901</v>
      </c>
      <c r="N49" s="1307">
        <v>901</v>
      </c>
      <c r="O49" s="1307">
        <v>973</v>
      </c>
      <c r="P49" s="1307">
        <v>986</v>
      </c>
      <c r="Q49" s="1307">
        <v>979</v>
      </c>
      <c r="R49" s="1307">
        <v>974</v>
      </c>
      <c r="S49" s="1307">
        <v>956</v>
      </c>
      <c r="T49" s="1307">
        <v>975</v>
      </c>
      <c r="U49" s="1307">
        <v>971</v>
      </c>
      <c r="V49" s="1307">
        <v>973</v>
      </c>
      <c r="W49" s="1307">
        <v>1006</v>
      </c>
      <c r="X49" s="1307">
        <v>993</v>
      </c>
      <c r="Y49" s="1307">
        <v>1063</v>
      </c>
      <c r="Z49" s="1307">
        <v>1090</v>
      </c>
      <c r="AA49" s="1307">
        <v>650</v>
      </c>
      <c r="AB49" s="1307">
        <v>640</v>
      </c>
      <c r="AC49" s="1307">
        <v>636</v>
      </c>
      <c r="AD49" s="1307">
        <v>627</v>
      </c>
      <c r="AE49" s="1307">
        <v>592</v>
      </c>
      <c r="AF49" s="1307">
        <v>597</v>
      </c>
      <c r="AG49" s="1307">
        <v>580</v>
      </c>
      <c r="AH49" s="1307">
        <v>505</v>
      </c>
      <c r="AI49" s="1307">
        <v>503</v>
      </c>
      <c r="AJ49" s="1307">
        <v>482</v>
      </c>
      <c r="AK49" s="1307">
        <v>474</v>
      </c>
      <c r="AL49" s="1307">
        <v>474</v>
      </c>
      <c r="AM49" s="1307">
        <v>480</v>
      </c>
      <c r="AN49" s="1307">
        <v>551</v>
      </c>
      <c r="AO49" s="1307">
        <v>545</v>
      </c>
      <c r="AP49" s="1307">
        <v>541</v>
      </c>
      <c r="AQ49" s="1244">
        <v>531</v>
      </c>
      <c r="AR49" s="1244">
        <v>535</v>
      </c>
      <c r="AS49" s="1244">
        <v>534</v>
      </c>
      <c r="AT49" s="1307">
        <v>502</v>
      </c>
      <c r="AU49" s="1307">
        <v>502</v>
      </c>
      <c r="AV49" s="1307">
        <v>494</v>
      </c>
      <c r="AW49" s="1307">
        <v>481</v>
      </c>
      <c r="AX49" s="969"/>
      <c r="AY49" s="1307">
        <v>841</v>
      </c>
      <c r="AZ49" s="1307">
        <v>901</v>
      </c>
      <c r="BA49" s="1025">
        <v>-60</v>
      </c>
      <c r="BB49" s="975">
        <v>-6.6592674805771371E-2</v>
      </c>
      <c r="BC49" s="1251"/>
      <c r="BD49" s="2260">
        <v>841</v>
      </c>
      <c r="BE49" s="1307">
        <v>901</v>
      </c>
      <c r="BF49" s="1307">
        <v>974</v>
      </c>
      <c r="BG49" s="1277">
        <v>973</v>
      </c>
      <c r="BH49" s="1277">
        <v>1090</v>
      </c>
      <c r="BI49" s="1277">
        <v>627</v>
      </c>
      <c r="BJ49" s="1277">
        <v>505</v>
      </c>
      <c r="BK49" s="1277">
        <v>474</v>
      </c>
      <c r="BL49" s="1277">
        <v>541</v>
      </c>
      <c r="BM49" s="1277">
        <v>502</v>
      </c>
      <c r="BN49" s="1523">
        <v>464</v>
      </c>
      <c r="BO49" s="1523">
        <v>279</v>
      </c>
      <c r="BP49" s="1523">
        <v>237</v>
      </c>
      <c r="BQ49" s="1226"/>
      <c r="BS49" s="1181"/>
      <c r="BT49" s="1181"/>
      <c r="BU49" s="1181"/>
      <c r="BV49" s="1181"/>
    </row>
    <row r="50" spans="1:74" ht="12.75" customHeight="1" x14ac:dyDescent="0.2">
      <c r="A50" s="969"/>
      <c r="B50" s="969"/>
      <c r="C50" s="1427"/>
      <c r="D50" s="981"/>
      <c r="E50" s="1188"/>
      <c r="F50" s="1188"/>
      <c r="G50" s="1188"/>
      <c r="H50" s="1188"/>
      <c r="I50" s="1188"/>
      <c r="J50" s="1251"/>
      <c r="K50" s="1251"/>
      <c r="L50" s="1251"/>
      <c r="M50" s="1251"/>
      <c r="N50" s="1251"/>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523"/>
      <c r="BO50" s="1523"/>
      <c r="BP50" s="1523"/>
      <c r="BQ50" s="1226"/>
      <c r="BS50" s="1181"/>
      <c r="BT50" s="1181"/>
      <c r="BU50" s="1181"/>
      <c r="BV50" s="1181"/>
    </row>
    <row r="51" spans="1:74" ht="18" customHeight="1" x14ac:dyDescent="0.2">
      <c r="A51" s="1428" t="s">
        <v>253</v>
      </c>
      <c r="B51" s="969"/>
      <c r="C51" s="1235"/>
      <c r="D51" s="1235"/>
      <c r="E51" s="1188"/>
      <c r="F51" s="1188"/>
      <c r="G51" s="1188"/>
      <c r="H51" s="1188"/>
      <c r="I51" s="1188"/>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35"/>
      <c r="AS51" s="1235"/>
      <c r="AT51" s="1235"/>
      <c r="AU51" s="1235"/>
      <c r="AV51" s="1235"/>
      <c r="AW51" s="1235"/>
      <c r="AX51" s="1251"/>
      <c r="AY51" s="1524"/>
      <c r="AZ51" s="1235"/>
      <c r="BA51" s="1251"/>
      <c r="BB51" s="1251"/>
      <c r="BC51" s="1235"/>
      <c r="BD51" s="1235"/>
      <c r="BE51" s="1295"/>
      <c r="BF51" s="1295"/>
      <c r="BG51" s="1295"/>
      <c r="BH51" s="1295"/>
      <c r="BI51" s="1235"/>
      <c r="BJ51" s="1235"/>
      <c r="BK51" s="1235"/>
      <c r="BL51" s="1235"/>
      <c r="BM51" s="1235"/>
      <c r="BN51" s="1349"/>
      <c r="BO51" s="1349"/>
      <c r="BP51" s="1349"/>
      <c r="BQ51" s="1226"/>
      <c r="BS51" s="1181"/>
      <c r="BT51" s="1181"/>
      <c r="BU51" s="1181"/>
      <c r="BV51" s="1181"/>
    </row>
    <row r="52" spans="1:74" ht="12.75" customHeight="1" x14ac:dyDescent="0.2">
      <c r="A52" s="1429"/>
      <c r="B52" s="969"/>
      <c r="C52" s="1235"/>
      <c r="D52" s="1235"/>
      <c r="E52" s="1188"/>
      <c r="F52" s="1188"/>
      <c r="G52" s="1188"/>
      <c r="H52" s="1188"/>
      <c r="I52" s="1188"/>
      <c r="J52" s="1251"/>
      <c r="K52" s="1251"/>
      <c r="L52" s="1251"/>
      <c r="M52" s="1251"/>
      <c r="N52" s="1251"/>
      <c r="O52" s="1251"/>
      <c r="P52" s="1251"/>
      <c r="Q52" s="1251"/>
      <c r="R52" s="1251"/>
      <c r="S52" s="1251"/>
      <c r="T52" s="1251"/>
      <c r="U52" s="1251"/>
      <c r="V52" s="1251"/>
      <c r="W52" s="1251"/>
      <c r="X52" s="1251"/>
      <c r="Y52" s="1251"/>
      <c r="Z52" s="1525"/>
      <c r="AA52" s="1251"/>
      <c r="AB52" s="1251"/>
      <c r="AC52" s="1251"/>
      <c r="AD52" s="1525"/>
      <c r="AE52" s="1251"/>
      <c r="AF52" s="1525"/>
      <c r="AG52" s="1251"/>
      <c r="AH52" s="1525"/>
      <c r="AI52" s="1251"/>
      <c r="AJ52" s="1525"/>
      <c r="AK52" s="1251"/>
      <c r="AL52" s="1525"/>
      <c r="AM52" s="1251"/>
      <c r="AN52" s="1251"/>
      <c r="AO52" s="1251"/>
      <c r="AP52" s="1251"/>
      <c r="AQ52" s="1251"/>
      <c r="AR52" s="1235"/>
      <c r="AS52" s="1235"/>
      <c r="AT52" s="1235"/>
      <c r="AU52" s="1235"/>
      <c r="AV52" s="1235"/>
      <c r="AW52" s="1235"/>
      <c r="AX52" s="1251"/>
      <c r="AY52" s="1235"/>
      <c r="AZ52" s="1235"/>
      <c r="BA52" s="1251"/>
      <c r="BB52" s="1251"/>
      <c r="BC52" s="1235"/>
      <c r="BD52" s="1235"/>
      <c r="BE52" s="1235"/>
      <c r="BF52" s="1235"/>
      <c r="BG52" s="1235"/>
      <c r="BH52" s="1235"/>
      <c r="BI52" s="1235"/>
      <c r="BJ52" s="1235"/>
      <c r="BK52" s="1235"/>
      <c r="BL52" s="1235"/>
      <c r="BM52" s="1235"/>
      <c r="BN52" s="1349"/>
      <c r="BO52" s="1349"/>
      <c r="BP52" s="1349"/>
      <c r="BQ52" s="1226"/>
      <c r="BS52" s="1181"/>
      <c r="BT52" s="1181"/>
      <c r="BU52" s="1181"/>
      <c r="BV52" s="1181"/>
    </row>
    <row r="53" spans="1:74" ht="12.75" customHeight="1" x14ac:dyDescent="0.2">
      <c r="A53" s="968"/>
      <c r="B53" s="969"/>
      <c r="C53" s="2455" t="s">
        <v>456</v>
      </c>
      <c r="D53" s="2456"/>
      <c r="E53" s="919"/>
      <c r="F53" s="921"/>
      <c r="G53" s="921"/>
      <c r="H53" s="921"/>
      <c r="I53" s="2313"/>
      <c r="J53" s="1000"/>
      <c r="K53" s="1000"/>
      <c r="L53" s="1000"/>
      <c r="M53" s="1001"/>
      <c r="N53" s="1000"/>
      <c r="O53" s="1000"/>
      <c r="P53" s="1000"/>
      <c r="Q53" s="1261"/>
      <c r="R53" s="1000"/>
      <c r="S53" s="1000"/>
      <c r="T53" s="1000"/>
      <c r="U53" s="1261"/>
      <c r="V53" s="1000"/>
      <c r="W53" s="1000"/>
      <c r="X53" s="1000"/>
      <c r="Y53" s="1261"/>
      <c r="Z53" s="1262"/>
      <c r="AA53" s="1263"/>
      <c r="AB53" s="1000"/>
      <c r="AC53" s="1261"/>
      <c r="AD53" s="1262"/>
      <c r="AE53" s="1263"/>
      <c r="AF53" s="1000"/>
      <c r="AG53" s="1261"/>
      <c r="AI53" s="1263"/>
      <c r="AJ53" s="964"/>
      <c r="AK53" s="1261"/>
      <c r="AL53" s="1263"/>
      <c r="AN53" s="1000"/>
      <c r="AO53" s="1261"/>
      <c r="AP53" s="1263"/>
      <c r="AQ53" s="1263"/>
      <c r="AR53" s="1263"/>
      <c r="AS53" s="1263"/>
      <c r="AT53" s="1264"/>
      <c r="AU53" s="1261"/>
      <c r="AV53" s="1261"/>
      <c r="AW53" s="1261"/>
      <c r="AX53" s="1265"/>
      <c r="AY53" s="1006" t="s">
        <v>448</v>
      </c>
      <c r="AZ53" s="1006"/>
      <c r="BA53" s="1006" t="s">
        <v>441</v>
      </c>
      <c r="BB53" s="1007"/>
      <c r="BC53" s="1008"/>
      <c r="BD53" s="1009"/>
      <c r="BE53" s="1009"/>
      <c r="BF53" s="1009"/>
      <c r="BG53" s="1009"/>
      <c r="BH53" s="1009"/>
      <c r="BI53" s="1009"/>
      <c r="BJ53" s="1009"/>
      <c r="BK53" s="1009"/>
      <c r="BL53" s="1526"/>
      <c r="BM53" s="1527"/>
      <c r="BN53" s="1009"/>
      <c r="BO53" s="1009"/>
      <c r="BP53" s="2273"/>
      <c r="BQ53" s="1266"/>
      <c r="BS53" s="1181"/>
      <c r="BT53" s="1181"/>
      <c r="BU53" s="1181"/>
      <c r="BV53" s="1181"/>
    </row>
    <row r="54" spans="1:74" ht="12.75" customHeight="1" x14ac:dyDescent="0.2">
      <c r="A54" s="968" t="s">
        <v>2</v>
      </c>
      <c r="B54" s="969"/>
      <c r="C54" s="2457" t="s">
        <v>39</v>
      </c>
      <c r="D54" s="2458"/>
      <c r="E54" s="924"/>
      <c r="F54" s="925" t="s">
        <v>452</v>
      </c>
      <c r="G54" s="925" t="s">
        <v>453</v>
      </c>
      <c r="H54" s="925" t="s">
        <v>454</v>
      </c>
      <c r="I54" s="2281" t="s">
        <v>455</v>
      </c>
      <c r="J54" s="1010" t="s">
        <v>399</v>
      </c>
      <c r="K54" s="1010" t="s">
        <v>398</v>
      </c>
      <c r="L54" s="1010" t="s">
        <v>397</v>
      </c>
      <c r="M54" s="1011" t="s">
        <v>395</v>
      </c>
      <c r="N54" s="1010" t="s">
        <v>373</v>
      </c>
      <c r="O54" s="1010" t="s">
        <v>374</v>
      </c>
      <c r="P54" s="1010" t="s">
        <v>375</v>
      </c>
      <c r="Q54" s="1011" t="s">
        <v>376</v>
      </c>
      <c r="R54" s="1010" t="s">
        <v>330</v>
      </c>
      <c r="S54" s="1010" t="s">
        <v>329</v>
      </c>
      <c r="T54" s="1010" t="s">
        <v>328</v>
      </c>
      <c r="U54" s="1011" t="s">
        <v>326</v>
      </c>
      <c r="V54" s="1010" t="s">
        <v>282</v>
      </c>
      <c r="W54" s="1010" t="s">
        <v>283</v>
      </c>
      <c r="X54" s="1010" t="s">
        <v>284</v>
      </c>
      <c r="Y54" s="1011" t="s">
        <v>285</v>
      </c>
      <c r="Z54" s="1012" t="s">
        <v>220</v>
      </c>
      <c r="AA54" s="1010" t="s">
        <v>221</v>
      </c>
      <c r="AB54" s="1010" t="s">
        <v>222</v>
      </c>
      <c r="AC54" s="1011" t="s">
        <v>219</v>
      </c>
      <c r="AD54" s="1012" t="s">
        <v>185</v>
      </c>
      <c r="AE54" s="1010" t="s">
        <v>186</v>
      </c>
      <c r="AF54" s="1010" t="s">
        <v>187</v>
      </c>
      <c r="AG54" s="1011" t="s">
        <v>188</v>
      </c>
      <c r="AH54" s="1010" t="s">
        <v>118</v>
      </c>
      <c r="AI54" s="1010" t="s">
        <v>117</v>
      </c>
      <c r="AJ54" s="1010" t="s">
        <v>116</v>
      </c>
      <c r="AK54" s="1011" t="s">
        <v>115</v>
      </c>
      <c r="AL54" s="1010" t="s">
        <v>83</v>
      </c>
      <c r="AM54" s="1010" t="s">
        <v>84</v>
      </c>
      <c r="AN54" s="1010" t="s">
        <v>85</v>
      </c>
      <c r="AO54" s="1011" t="s">
        <v>30</v>
      </c>
      <c r="AP54" s="1010" t="s">
        <v>31</v>
      </c>
      <c r="AQ54" s="1010" t="s">
        <v>32</v>
      </c>
      <c r="AR54" s="1010" t="s">
        <v>33</v>
      </c>
      <c r="AS54" s="1010" t="s">
        <v>34</v>
      </c>
      <c r="AT54" s="1013" t="s">
        <v>35</v>
      </c>
      <c r="AU54" s="1011" t="s">
        <v>36</v>
      </c>
      <c r="AV54" s="1011" t="s">
        <v>37</v>
      </c>
      <c r="AW54" s="1011" t="s">
        <v>38</v>
      </c>
      <c r="AX54" s="1014"/>
      <c r="AY54" s="1010" t="s">
        <v>399</v>
      </c>
      <c r="AZ54" s="1010" t="s">
        <v>373</v>
      </c>
      <c r="BA54" s="2453" t="s">
        <v>39</v>
      </c>
      <c r="BB54" s="2454"/>
      <c r="BC54" s="1362"/>
      <c r="BD54" s="1012" t="s">
        <v>438</v>
      </c>
      <c r="BE54" s="1012" t="s">
        <v>385</v>
      </c>
      <c r="BF54" s="1012" t="s">
        <v>332</v>
      </c>
      <c r="BG54" s="1012" t="s">
        <v>287</v>
      </c>
      <c r="BH54" s="1012" t="s">
        <v>224</v>
      </c>
      <c r="BI54" s="1012" t="s">
        <v>120</v>
      </c>
      <c r="BJ54" s="1012" t="s">
        <v>119</v>
      </c>
      <c r="BK54" s="1012" t="s">
        <v>43</v>
      </c>
      <c r="BL54" s="1012" t="s">
        <v>40</v>
      </c>
      <c r="BM54" s="1013" t="s">
        <v>41</v>
      </c>
      <c r="BN54" s="1013" t="s">
        <v>138</v>
      </c>
      <c r="BO54" s="1013" t="s">
        <v>139</v>
      </c>
      <c r="BP54" s="1012" t="s">
        <v>140</v>
      </c>
      <c r="BQ54" s="1266"/>
      <c r="BS54" s="1181"/>
      <c r="BT54" s="1181"/>
      <c r="BU54" s="1181"/>
      <c r="BV54" s="1181"/>
    </row>
    <row r="55" spans="1:74" ht="12.75" customHeight="1" x14ac:dyDescent="0.2">
      <c r="A55" s="1250"/>
      <c r="B55" s="1251" t="s">
        <v>4</v>
      </c>
      <c r="C55" s="1252">
        <v>-5630</v>
      </c>
      <c r="D55" s="1056">
        <v>-3.8818216292619022E-2</v>
      </c>
      <c r="E55" s="1187"/>
      <c r="F55" s="1206">
        <v>0</v>
      </c>
      <c r="G55" s="1206">
        <v>0</v>
      </c>
      <c r="H55" s="1206">
        <v>0</v>
      </c>
      <c r="I55" s="2291">
        <v>139405</v>
      </c>
      <c r="J55" s="1310">
        <v>138579</v>
      </c>
      <c r="K55" s="1310">
        <v>122145</v>
      </c>
      <c r="L55" s="1310">
        <v>126511</v>
      </c>
      <c r="M55" s="1326">
        <v>145035</v>
      </c>
      <c r="N55" s="1310">
        <v>159379</v>
      </c>
      <c r="O55" s="1310">
        <v>103866</v>
      </c>
      <c r="P55" s="1310">
        <v>170615</v>
      </c>
      <c r="Q55" s="1326">
        <v>179245</v>
      </c>
      <c r="R55" s="1310">
        <v>186659</v>
      </c>
      <c r="S55" s="1310">
        <v>171234</v>
      </c>
      <c r="T55" s="1310">
        <v>126691</v>
      </c>
      <c r="U55" s="1528">
        <v>131206</v>
      </c>
      <c r="V55" s="1310">
        <v>153997</v>
      </c>
      <c r="W55" s="1310">
        <v>165625</v>
      </c>
      <c r="X55" s="1310">
        <v>120110</v>
      </c>
      <c r="Y55" s="1528">
        <v>101301</v>
      </c>
      <c r="Z55" s="1310">
        <v>113067</v>
      </c>
      <c r="AA55" s="1310">
        <v>93581</v>
      </c>
      <c r="AB55" s="1310">
        <v>69452</v>
      </c>
      <c r="AC55" s="1528">
        <v>97377</v>
      </c>
      <c r="AD55" s="1310">
        <v>163771</v>
      </c>
      <c r="AE55" s="1310">
        <v>177758</v>
      </c>
      <c r="AF55" s="1310">
        <v>96963</v>
      </c>
      <c r="AG55" s="1528">
        <v>100152</v>
      </c>
      <c r="AH55" s="1370">
        <v>83496</v>
      </c>
      <c r="AI55" s="1365">
        <v>116090</v>
      </c>
      <c r="AJ55" s="1310">
        <v>78475</v>
      </c>
      <c r="AK55" s="1528">
        <v>85497</v>
      </c>
      <c r="AL55" s="1365">
        <v>64972</v>
      </c>
      <c r="AM55" s="1365">
        <v>49250</v>
      </c>
      <c r="AN55" s="1310">
        <v>58336</v>
      </c>
      <c r="AO55" s="1528">
        <v>104793</v>
      </c>
      <c r="AP55" s="1323">
        <v>77965</v>
      </c>
      <c r="AQ55" s="1323">
        <v>109583</v>
      </c>
      <c r="AR55" s="1323">
        <v>89071</v>
      </c>
      <c r="AS55" s="1323">
        <v>155023</v>
      </c>
      <c r="AT55" s="1471">
        <v>130151</v>
      </c>
      <c r="AU55" s="1276">
        <v>101427</v>
      </c>
      <c r="AV55" s="1276">
        <v>93033</v>
      </c>
      <c r="AW55" s="1453">
        <v>125106</v>
      </c>
      <c r="AX55" s="1274"/>
      <c r="AY55" s="1294">
        <v>532270</v>
      </c>
      <c r="AZ55" s="1294">
        <v>613105</v>
      </c>
      <c r="BA55" s="1529">
        <v>-80835</v>
      </c>
      <c r="BB55" s="1368">
        <v>-0.13184527935671703</v>
      </c>
      <c r="BC55" s="1235"/>
      <c r="BD55" s="1447">
        <v>532270</v>
      </c>
      <c r="BE55" s="1447">
        <v>613105</v>
      </c>
      <c r="BF55" s="1447">
        <v>615790</v>
      </c>
      <c r="BG55" s="1447">
        <v>541033</v>
      </c>
      <c r="BH55" s="1447">
        <v>373477</v>
      </c>
      <c r="BI55" s="1327">
        <v>538644</v>
      </c>
      <c r="BJ55" s="1327">
        <v>363558</v>
      </c>
      <c r="BK55" s="1327">
        <v>277351</v>
      </c>
      <c r="BL55" s="1471">
        <v>431642</v>
      </c>
      <c r="BM55" s="1530">
        <v>449717</v>
      </c>
      <c r="BN55" s="1369">
        <v>333666</v>
      </c>
      <c r="BO55" s="1369">
        <v>239654</v>
      </c>
      <c r="BP55" s="1421">
        <v>211758</v>
      </c>
      <c r="BQ55" s="1266"/>
      <c r="BS55" s="1181"/>
      <c r="BT55" s="1181"/>
      <c r="BU55" s="1181"/>
      <c r="BV55" s="1181"/>
    </row>
    <row r="56" spans="1:74" ht="12.75" customHeight="1" x14ac:dyDescent="0.25">
      <c r="A56" s="1235"/>
      <c r="B56" s="1251" t="s">
        <v>82</v>
      </c>
      <c r="C56" s="1252">
        <v>-1528</v>
      </c>
      <c r="D56" s="1371">
        <v>-1.1723545298305917E-2</v>
      </c>
      <c r="E56" s="949"/>
      <c r="F56" s="1206">
        <v>0</v>
      </c>
      <c r="G56" s="1206">
        <v>0</v>
      </c>
      <c r="H56" s="1206">
        <v>0</v>
      </c>
      <c r="I56" s="2291">
        <v>128808</v>
      </c>
      <c r="J56" s="1310">
        <v>135386</v>
      </c>
      <c r="K56" s="1310">
        <v>136812</v>
      </c>
      <c r="L56" s="1310">
        <v>122851</v>
      </c>
      <c r="M56" s="1326">
        <v>130336</v>
      </c>
      <c r="N56" s="1310">
        <v>146833</v>
      </c>
      <c r="O56" s="1310">
        <v>121788</v>
      </c>
      <c r="P56" s="1310">
        <v>140252</v>
      </c>
      <c r="Q56" s="1326">
        <v>148035</v>
      </c>
      <c r="R56" s="1310">
        <v>148095</v>
      </c>
      <c r="S56" s="1310">
        <v>139490</v>
      </c>
      <c r="T56" s="1310">
        <v>117740</v>
      </c>
      <c r="U56" s="1528">
        <v>115309</v>
      </c>
      <c r="V56" s="1310">
        <v>132501</v>
      </c>
      <c r="W56" s="1310">
        <v>136450</v>
      </c>
      <c r="X56" s="1310">
        <v>117864</v>
      </c>
      <c r="Y56" s="1528">
        <v>116652</v>
      </c>
      <c r="Z56" s="1310">
        <v>103027</v>
      </c>
      <c r="AA56" s="1310">
        <v>77401</v>
      </c>
      <c r="AB56" s="1310">
        <v>69639</v>
      </c>
      <c r="AC56" s="1528">
        <v>80041</v>
      </c>
      <c r="AD56" s="1310">
        <v>107677</v>
      </c>
      <c r="AE56" s="1310">
        <v>115616</v>
      </c>
      <c r="AF56" s="1310">
        <v>75787</v>
      </c>
      <c r="AG56" s="1528">
        <v>74136</v>
      </c>
      <c r="AH56" s="1370">
        <v>66336</v>
      </c>
      <c r="AI56" s="1310">
        <v>88110</v>
      </c>
      <c r="AJ56" s="1310">
        <v>64018</v>
      </c>
      <c r="AK56" s="1528">
        <v>69132</v>
      </c>
      <c r="AL56" s="1310">
        <v>54518</v>
      </c>
      <c r="AM56" s="1310">
        <v>58297</v>
      </c>
      <c r="AN56" s="1310">
        <v>63150</v>
      </c>
      <c r="AO56" s="1528">
        <v>85020</v>
      </c>
      <c r="AP56" s="1323">
        <v>73158</v>
      </c>
      <c r="AQ56" s="1323">
        <v>86348</v>
      </c>
      <c r="AR56" s="1323">
        <v>72982</v>
      </c>
      <c r="AS56" s="1323">
        <v>106349</v>
      </c>
      <c r="AT56" s="1238">
        <v>100905</v>
      </c>
      <c r="AU56" s="1276">
        <v>75317</v>
      </c>
      <c r="AV56" s="1276">
        <v>70703</v>
      </c>
      <c r="AW56" s="1276">
        <v>91522</v>
      </c>
      <c r="AX56" s="1274"/>
      <c r="AY56" s="1294">
        <v>525385</v>
      </c>
      <c r="AZ56" s="1294">
        <v>556908</v>
      </c>
      <c r="BA56" s="1322">
        <v>-31523</v>
      </c>
      <c r="BB56" s="1371">
        <v>-5.6603604185969672E-2</v>
      </c>
      <c r="BC56" s="1235"/>
      <c r="BD56" s="1447">
        <v>525385</v>
      </c>
      <c r="BE56" s="1447">
        <v>556908</v>
      </c>
      <c r="BF56" s="1447">
        <v>520634</v>
      </c>
      <c r="BG56" s="1447">
        <v>503467</v>
      </c>
      <c r="BH56" s="1447">
        <v>330108</v>
      </c>
      <c r="BI56" s="1327">
        <v>373216</v>
      </c>
      <c r="BJ56" s="1327">
        <v>287596</v>
      </c>
      <c r="BK56" s="1327">
        <v>260985</v>
      </c>
      <c r="BL56" s="1238">
        <v>338837</v>
      </c>
      <c r="BM56" s="1282">
        <v>338447</v>
      </c>
      <c r="BN56" s="1054">
        <v>231683</v>
      </c>
      <c r="BO56" s="1054">
        <v>173735</v>
      </c>
      <c r="BP56" s="979">
        <v>154490</v>
      </c>
      <c r="BQ56" s="1266"/>
      <c r="BS56" s="1414"/>
      <c r="BT56" s="1181"/>
      <c r="BU56" s="1181"/>
      <c r="BV56" s="1181"/>
    </row>
    <row r="57" spans="1:74" ht="24.75" customHeight="1" x14ac:dyDescent="0.25">
      <c r="A57" s="1235"/>
      <c r="B57" s="1423" t="s">
        <v>179</v>
      </c>
      <c r="C57" s="1252">
        <v>-4102</v>
      </c>
      <c r="D57" s="1371">
        <v>-0.2790666031702837</v>
      </c>
      <c r="E57" s="949"/>
      <c r="F57" s="1209">
        <v>0</v>
      </c>
      <c r="G57" s="1209">
        <v>0</v>
      </c>
      <c r="H57" s="1206">
        <v>0</v>
      </c>
      <c r="I57" s="2287">
        <v>10597</v>
      </c>
      <c r="J57" s="1322">
        <v>3193</v>
      </c>
      <c r="K57" s="1322">
        <v>-14667</v>
      </c>
      <c r="L57" s="1310">
        <v>3660</v>
      </c>
      <c r="M57" s="1293">
        <v>14699</v>
      </c>
      <c r="N57" s="1322">
        <v>12546</v>
      </c>
      <c r="O57" s="1322">
        <v>-17922</v>
      </c>
      <c r="P57" s="1310">
        <v>30363</v>
      </c>
      <c r="Q57" s="1293">
        <v>31210</v>
      </c>
      <c r="R57" s="1310">
        <v>38564</v>
      </c>
      <c r="S57" s="1310">
        <v>31744</v>
      </c>
      <c r="T57" s="1310">
        <v>8951</v>
      </c>
      <c r="U57" s="1528">
        <v>15897</v>
      </c>
      <c r="V57" s="1310">
        <v>21496</v>
      </c>
      <c r="W57" s="1310">
        <v>29175</v>
      </c>
      <c r="X57" s="1310">
        <v>2246</v>
      </c>
      <c r="Y57" s="1296">
        <v>-15351</v>
      </c>
      <c r="Z57" s="1310">
        <v>10040</v>
      </c>
      <c r="AA57" s="1310">
        <v>16180</v>
      </c>
      <c r="AB57" s="1322">
        <v>-187</v>
      </c>
      <c r="AC57" s="1528">
        <v>17336</v>
      </c>
      <c r="AD57" s="1310">
        <v>56094</v>
      </c>
      <c r="AE57" s="1310">
        <v>62142</v>
      </c>
      <c r="AF57" s="1310" t="e">
        <v>#VALUE!</v>
      </c>
      <c r="AG57" s="1528" t="e">
        <v>#VALUE!</v>
      </c>
      <c r="AH57" s="1370">
        <v>17160</v>
      </c>
      <c r="AI57" s="1310">
        <v>27980</v>
      </c>
      <c r="AJ57" s="1310">
        <v>14457</v>
      </c>
      <c r="AK57" s="1528">
        <v>16365</v>
      </c>
      <c r="AL57" s="1310">
        <v>10454</v>
      </c>
      <c r="AM57" s="1310">
        <v>-9047</v>
      </c>
      <c r="AN57" s="1310">
        <v>-4814</v>
      </c>
      <c r="AO57" s="1528">
        <v>19773</v>
      </c>
      <c r="AP57" s="1323">
        <v>4807</v>
      </c>
      <c r="AQ57" s="1323">
        <v>23235</v>
      </c>
      <c r="AR57" s="1323">
        <v>16089</v>
      </c>
      <c r="AS57" s="1323">
        <v>48674</v>
      </c>
      <c r="AT57" s="1238">
        <v>29246</v>
      </c>
      <c r="AU57" s="1276">
        <v>26110</v>
      </c>
      <c r="AV57" s="1276">
        <v>22330</v>
      </c>
      <c r="AW57" s="1276">
        <v>33584</v>
      </c>
      <c r="AX57" s="1274"/>
      <c r="AY57" s="1294">
        <v>6885</v>
      </c>
      <c r="AZ57" s="1294">
        <v>56197</v>
      </c>
      <c r="BA57" s="1322">
        <v>-49312</v>
      </c>
      <c r="BB57" s="1371">
        <v>-0.8774845632329128</v>
      </c>
      <c r="BC57" s="1294"/>
      <c r="BD57" s="1297">
        <v>6885</v>
      </c>
      <c r="BE57" s="1447">
        <v>56197</v>
      </c>
      <c r="BF57" s="1447">
        <v>95156</v>
      </c>
      <c r="BG57" s="1447">
        <v>37566</v>
      </c>
      <c r="BH57" s="1447">
        <v>43369</v>
      </c>
      <c r="BI57" s="1327">
        <v>165428</v>
      </c>
      <c r="BJ57" s="1327">
        <v>75962</v>
      </c>
      <c r="BK57" s="1327">
        <v>16366</v>
      </c>
      <c r="BL57" s="1238">
        <v>92805</v>
      </c>
      <c r="BM57" s="1282">
        <v>111270</v>
      </c>
      <c r="BN57" s="1054">
        <v>101983</v>
      </c>
      <c r="BO57" s="1054">
        <v>65919</v>
      </c>
      <c r="BP57" s="979">
        <v>57268</v>
      </c>
      <c r="BQ57" s="1266"/>
      <c r="BS57" s="1414"/>
      <c r="BT57" s="1181"/>
      <c r="BU57" s="1181"/>
      <c r="BV57" s="1181"/>
    </row>
    <row r="58" spans="1:74" ht="13.5" x14ac:dyDescent="0.25">
      <c r="A58" s="1235"/>
      <c r="B58" s="1423" t="s">
        <v>74</v>
      </c>
      <c r="C58" s="1254">
        <v>-3733</v>
      </c>
      <c r="D58" s="1383">
        <v>-0.34855275443510736</v>
      </c>
      <c r="E58" s="949"/>
      <c r="F58" s="1224">
        <v>0</v>
      </c>
      <c r="G58" s="1224">
        <v>0</v>
      </c>
      <c r="H58" s="1224">
        <v>0</v>
      </c>
      <c r="I58" s="2289">
        <v>6977</v>
      </c>
      <c r="J58" s="1378">
        <v>-1873</v>
      </c>
      <c r="K58" s="1378">
        <v>-18585</v>
      </c>
      <c r="L58" s="1378">
        <v>-454</v>
      </c>
      <c r="M58" s="1301">
        <v>10710</v>
      </c>
      <c r="N58" s="1374">
        <v>9424</v>
      </c>
      <c r="O58" s="1378">
        <v>-20619</v>
      </c>
      <c r="P58" s="1374">
        <v>26971</v>
      </c>
      <c r="Q58" s="1301">
        <v>28511</v>
      </c>
      <c r="R58" s="1374">
        <v>36319</v>
      </c>
      <c r="S58" s="1374">
        <v>29588</v>
      </c>
      <c r="T58" s="1374">
        <v>7118</v>
      </c>
      <c r="U58" s="1531">
        <v>13594</v>
      </c>
      <c r="V58" s="1374">
        <v>20986</v>
      </c>
      <c r="W58" s="1374">
        <v>28327</v>
      </c>
      <c r="X58" s="1374">
        <v>1742</v>
      </c>
      <c r="Y58" s="1532">
        <v>-17055</v>
      </c>
      <c r="Z58" s="1374">
        <v>6933</v>
      </c>
      <c r="AA58" s="1374">
        <v>13565</v>
      </c>
      <c r="AB58" s="1378">
        <v>-3291</v>
      </c>
      <c r="AC58" s="1531">
        <v>14295</v>
      </c>
      <c r="AD58" s="1374">
        <v>53545</v>
      </c>
      <c r="AE58" s="1374">
        <v>59408</v>
      </c>
      <c r="AF58" s="1374">
        <v>21176</v>
      </c>
      <c r="AG58" s="1531">
        <v>26016</v>
      </c>
      <c r="AH58" s="1379">
        <v>17160</v>
      </c>
      <c r="AI58" s="1374">
        <v>27980</v>
      </c>
      <c r="AJ58" s="1374">
        <v>14457</v>
      </c>
      <c r="AK58" s="1531">
        <v>16365</v>
      </c>
      <c r="AL58" s="1374">
        <v>10454</v>
      </c>
      <c r="AM58" s="1374">
        <v>-9047</v>
      </c>
      <c r="AN58" s="1374">
        <v>-4814</v>
      </c>
      <c r="AO58" s="1531">
        <v>19773</v>
      </c>
      <c r="AP58" s="1533">
        <v>4807</v>
      </c>
      <c r="AQ58" s="1533">
        <v>23235</v>
      </c>
      <c r="AR58" s="1533">
        <v>16089</v>
      </c>
      <c r="AS58" s="1533">
        <v>48674</v>
      </c>
      <c r="AT58" s="1534">
        <v>29246</v>
      </c>
      <c r="AU58" s="1299">
        <v>26110</v>
      </c>
      <c r="AV58" s="1299">
        <v>22330</v>
      </c>
      <c r="AW58" s="1299">
        <v>33584</v>
      </c>
      <c r="AX58" s="1274"/>
      <c r="AY58" s="1378">
        <v>-10202</v>
      </c>
      <c r="AZ58" s="1378">
        <v>44287</v>
      </c>
      <c r="BA58" s="1378">
        <v>-54489</v>
      </c>
      <c r="BB58" s="1383">
        <v>-1.2303610540339152</v>
      </c>
      <c r="BC58" s="1235"/>
      <c r="BD58" s="1328">
        <v>-10202</v>
      </c>
      <c r="BE58" s="1535">
        <v>44287</v>
      </c>
      <c r="BF58" s="1535">
        <v>86619</v>
      </c>
      <c r="BG58" s="1535">
        <v>34000</v>
      </c>
      <c r="BH58" s="1535">
        <v>31502</v>
      </c>
      <c r="BI58" s="1535">
        <v>154525</v>
      </c>
      <c r="BJ58" s="1535" t="e">
        <f>+BJ57-#REF!</f>
        <v>#REF!</v>
      </c>
      <c r="BK58" s="1535">
        <f>+BK57</f>
        <v>16366</v>
      </c>
      <c r="BL58" s="1534">
        <f>+BL57</f>
        <v>92805</v>
      </c>
      <c r="BM58" s="1305">
        <v>111270</v>
      </c>
      <c r="BN58" s="1329">
        <v>101983</v>
      </c>
      <c r="BO58" s="1329">
        <v>65919</v>
      </c>
      <c r="BP58" s="1233">
        <v>57268</v>
      </c>
      <c r="BQ58" s="1266"/>
      <c r="BS58" s="1414"/>
      <c r="BT58" s="1181"/>
      <c r="BU58" s="1181"/>
      <c r="BV58" s="1181"/>
    </row>
    <row r="59" spans="1:74" ht="12.75" customHeight="1" x14ac:dyDescent="0.2">
      <c r="A59" s="1235"/>
      <c r="B59" s="1251"/>
      <c r="C59" s="1026"/>
      <c r="D59" s="981"/>
      <c r="E59" s="945"/>
      <c r="F59" s="1393"/>
      <c r="G59" s="1393"/>
      <c r="H59" s="1393"/>
      <c r="I59" s="1393"/>
      <c r="J59" s="1440"/>
      <c r="K59" s="1440"/>
      <c r="L59" s="1440"/>
      <c r="M59" s="1440"/>
      <c r="N59" s="1440"/>
      <c r="O59" s="1440"/>
      <c r="P59" s="1440"/>
      <c r="Q59" s="1440"/>
      <c r="R59" s="1440"/>
      <c r="S59" s="1440"/>
      <c r="T59" s="1440"/>
      <c r="U59" s="1440"/>
      <c r="V59" s="1440"/>
      <c r="W59" s="1440"/>
      <c r="X59" s="1440"/>
      <c r="Y59" s="1440"/>
      <c r="Z59" s="1440"/>
      <c r="AA59" s="1440"/>
      <c r="AB59" s="1440"/>
      <c r="AC59" s="1440"/>
      <c r="AD59" s="1440"/>
      <c r="AE59" s="1440"/>
      <c r="AF59" s="1440"/>
      <c r="AG59" s="1440"/>
      <c r="AH59" s="981"/>
      <c r="AI59" s="981"/>
      <c r="AJ59" s="981"/>
      <c r="AK59" s="1251"/>
      <c r="AL59" s="981"/>
      <c r="AM59" s="981"/>
      <c r="AN59" s="981"/>
      <c r="AO59" s="1251"/>
      <c r="AP59" s="1235"/>
      <c r="AQ59" s="1235"/>
      <c r="AR59" s="1235"/>
      <c r="AS59" s="1235"/>
      <c r="AT59" s="1235"/>
      <c r="AU59" s="1235"/>
      <c r="AV59" s="1235"/>
      <c r="AW59" s="1235"/>
      <c r="AX59" s="1251"/>
      <c r="AY59" s="1251"/>
      <c r="AZ59" s="1251"/>
      <c r="BA59" s="1026"/>
      <c r="BB59" s="981"/>
      <c r="BC59" s="1251"/>
      <c r="BD59" s="1251"/>
      <c r="BE59" s="1251"/>
      <c r="BF59" s="1251"/>
      <c r="BG59" s="1251"/>
      <c r="BH59" s="1251"/>
      <c r="BI59" s="1251"/>
      <c r="BJ59" s="1251"/>
      <c r="BK59" s="1251"/>
      <c r="BL59" s="1235"/>
      <c r="BM59" s="1235"/>
      <c r="BN59" s="1025"/>
      <c r="BO59" s="1025"/>
      <c r="BP59" s="1025"/>
      <c r="BQ59" s="1226"/>
      <c r="BS59" s="1181"/>
      <c r="BT59" s="1181"/>
      <c r="BU59" s="1181"/>
      <c r="BV59" s="1181"/>
    </row>
    <row r="60" spans="1:74" ht="12.75" customHeight="1" x14ac:dyDescent="0.2">
      <c r="A60" s="1235"/>
      <c r="B60" s="1246" t="s">
        <v>77</v>
      </c>
      <c r="C60" s="1427">
        <v>-1.6369371098655938</v>
      </c>
      <c r="D60" s="981"/>
      <c r="E60" s="945"/>
      <c r="F60" s="945" t="e">
        <v>#DIV/0!</v>
      </c>
      <c r="G60" s="945" t="e">
        <v>#DIV/0!</v>
      </c>
      <c r="H60" s="945" t="e">
        <v>#DIV/0!</v>
      </c>
      <c r="I60" s="945">
        <v>0.31008975945603778</v>
      </c>
      <c r="J60" s="981">
        <v>0.31505495060579164</v>
      </c>
      <c r="K60" s="981">
        <v>0.40292275574112735</v>
      </c>
      <c r="L60" s="981">
        <v>0.38849586201990338</v>
      </c>
      <c r="M60" s="981">
        <v>0.32645913055469372</v>
      </c>
      <c r="N60" s="981">
        <v>0.29928033178775121</v>
      </c>
      <c r="O60" s="981">
        <v>0.5194770184661005</v>
      </c>
      <c r="P60" s="981">
        <v>0.26697535386689331</v>
      </c>
      <c r="Q60" s="981">
        <v>0.2707690591090407</v>
      </c>
      <c r="R60" s="981">
        <v>0.25229429065836634</v>
      </c>
      <c r="S60" s="981">
        <v>0.25411425301050022</v>
      </c>
      <c r="T60" s="981">
        <v>0.35130356536770568</v>
      </c>
      <c r="U60" s="981">
        <v>0.33562489520296329</v>
      </c>
      <c r="V60" s="981">
        <v>0.25167373390390724</v>
      </c>
      <c r="W60" s="981">
        <v>0.26919849056603773</v>
      </c>
      <c r="X60" s="981">
        <v>0.35479144117891931</v>
      </c>
      <c r="Y60" s="981">
        <v>0.4904097689065261</v>
      </c>
      <c r="Z60" s="981">
        <v>0.28216897945465963</v>
      </c>
      <c r="AA60" s="981">
        <v>0.29842596253512998</v>
      </c>
      <c r="AB60" s="981">
        <v>0.42304037320739502</v>
      </c>
      <c r="AC60" s="981">
        <v>0.29447405444817565</v>
      </c>
      <c r="AD60" s="981">
        <v>0.16800288207313871</v>
      </c>
      <c r="AE60" s="981">
        <v>0.16132607252556846</v>
      </c>
      <c r="AF60" s="981">
        <v>0.26172870063838782</v>
      </c>
      <c r="AG60" s="981">
        <v>0.2405420609567436</v>
      </c>
      <c r="AH60" s="981">
        <v>0.22280109226789307</v>
      </c>
      <c r="AI60" s="981">
        <v>0.17315875613747955</v>
      </c>
      <c r="AJ60" s="981">
        <v>0.22785600509716469</v>
      </c>
      <c r="AK60" s="981">
        <v>0.23973940606103139</v>
      </c>
      <c r="AL60" s="981">
        <v>0.32006094933201995</v>
      </c>
      <c r="AM60" s="981">
        <v>0.52846700507614208</v>
      </c>
      <c r="AN60" s="981">
        <v>0.50111423477783867</v>
      </c>
      <c r="AO60" s="981">
        <v>0.26975084213640221</v>
      </c>
      <c r="AP60" s="1057">
        <v>0.37782338228692364</v>
      </c>
      <c r="AQ60" s="1057">
        <v>0.22941514650995137</v>
      </c>
      <c r="AR60" s="1057">
        <v>0.30967430476810637</v>
      </c>
      <c r="AS60" s="1057">
        <v>0.16900000000000004</v>
      </c>
      <c r="AT60" s="1057">
        <v>0.21100000000000008</v>
      </c>
      <c r="AU60" s="1057">
        <v>0.20399999999999996</v>
      </c>
      <c r="AV60" s="1057">
        <v>0.249</v>
      </c>
      <c r="AW60" s="1057">
        <v>0.17899999999999994</v>
      </c>
      <c r="AX60" s="1251"/>
      <c r="AY60" s="981">
        <v>0.35578184004358693</v>
      </c>
      <c r="AZ60" s="981">
        <v>0.31925852831081136</v>
      </c>
      <c r="BA60" s="1245">
        <v>3.6523311732775565</v>
      </c>
      <c r="BB60" s="981"/>
      <c r="BC60" s="981"/>
      <c r="BD60" s="981">
        <v>0.35578184004358693</v>
      </c>
      <c r="BE60" s="981">
        <v>0.31925852831081136</v>
      </c>
      <c r="BF60" s="981">
        <v>0.29092547784147194</v>
      </c>
      <c r="BG60" s="981">
        <v>0.32463084506860024</v>
      </c>
      <c r="BH60" s="981">
        <v>0.31564728216195376</v>
      </c>
      <c r="BI60" s="981">
        <v>0.19588819331506524</v>
      </c>
      <c r="BJ60" s="981" t="e">
        <f>(BJ56-BJ23-BJ24)/BJ19</f>
        <v>#REF!</v>
      </c>
      <c r="BK60" s="1057">
        <v>0.37614070257543691</v>
      </c>
      <c r="BL60" s="1057">
        <v>0.25091858530912192</v>
      </c>
      <c r="BM60" s="1057">
        <v>0.20899999999999996</v>
      </c>
      <c r="BN60" s="1246">
        <v>0.1419999999999999</v>
      </c>
      <c r="BO60" s="1246">
        <v>0.13400000000000001</v>
      </c>
      <c r="BP60" s="1246">
        <v>0.10299999999999998</v>
      </c>
      <c r="BQ60" s="1226"/>
      <c r="BS60" s="1181"/>
      <c r="BT60" s="1181"/>
      <c r="BU60" s="1181"/>
      <c r="BV60" s="1181"/>
    </row>
    <row r="61" spans="1:74" ht="12.75" customHeight="1" x14ac:dyDescent="0.2">
      <c r="A61" s="1235"/>
      <c r="B61" s="1246" t="s">
        <v>78</v>
      </c>
      <c r="C61" s="1427">
        <v>2.5332025671351732</v>
      </c>
      <c r="D61" s="981"/>
      <c r="E61" s="945"/>
      <c r="F61" s="945" t="e">
        <v>#DIV/0!</v>
      </c>
      <c r="G61" s="945" t="e">
        <v>#DIV/0!</v>
      </c>
      <c r="H61" s="945" t="e">
        <v>#DIV/0!</v>
      </c>
      <c r="I61" s="945">
        <v>0.9239840751766436</v>
      </c>
      <c r="J61" s="981">
        <v>0.9769589909004972</v>
      </c>
      <c r="K61" s="981">
        <v>1.1200785951123664</v>
      </c>
      <c r="L61" s="981">
        <v>0.97106970935333692</v>
      </c>
      <c r="M61" s="981">
        <v>0.89865204950529187</v>
      </c>
      <c r="N61" s="981">
        <v>0.92128197566806169</v>
      </c>
      <c r="O61" s="981">
        <v>1.1725492461440703</v>
      </c>
      <c r="P61" s="981">
        <v>0.82203792163643286</v>
      </c>
      <c r="Q61" s="981">
        <v>0.82588077770649115</v>
      </c>
      <c r="R61" s="981">
        <v>0.79339865744485938</v>
      </c>
      <c r="S61" s="981">
        <v>0.81461625611735988</v>
      </c>
      <c r="T61" s="981">
        <v>0.92934778318901901</v>
      </c>
      <c r="U61" s="981">
        <v>0.87883938234531955</v>
      </c>
      <c r="V61" s="981">
        <v>0.86041286518568538</v>
      </c>
      <c r="W61" s="981">
        <v>0.82384905660377361</v>
      </c>
      <c r="X61" s="981">
        <v>0.98130047456498215</v>
      </c>
      <c r="Y61" s="981">
        <v>1.1515384843190097</v>
      </c>
      <c r="Z61" s="981">
        <v>0.91120309197201654</v>
      </c>
      <c r="AA61" s="981">
        <v>0.82710165525053159</v>
      </c>
      <c r="AB61" s="981">
        <v>1.0026925070552324</v>
      </c>
      <c r="AC61" s="981">
        <v>0.82197028045637055</v>
      </c>
      <c r="AD61" s="981">
        <v>0.65748514694298743</v>
      </c>
      <c r="AE61" s="981">
        <v>0.65041235837486922</v>
      </c>
      <c r="AF61" s="981">
        <v>0.78160741726225469</v>
      </c>
      <c r="AG61" s="981">
        <v>0.74023484303858134</v>
      </c>
      <c r="AH61" s="981">
        <v>0.79448117275079044</v>
      </c>
      <c r="AI61" s="981">
        <v>0.75898010164527518</v>
      </c>
      <c r="AJ61" s="981">
        <v>0.81577572475310611</v>
      </c>
      <c r="AK61" s="981">
        <v>0.80858977507982732</v>
      </c>
      <c r="AL61" s="981">
        <v>0.83909991996552358</v>
      </c>
      <c r="AM61" s="981">
        <v>1.1836954314720811</v>
      </c>
      <c r="AN61" s="981">
        <v>1.0825219418540866</v>
      </c>
      <c r="AO61" s="981">
        <v>0.8113137327874953</v>
      </c>
      <c r="AP61" s="1057">
        <v>0.9383441287757327</v>
      </c>
      <c r="AQ61" s="1057">
        <v>0.78796893678764046</v>
      </c>
      <c r="AR61" s="1057">
        <v>0.81936881813384832</v>
      </c>
      <c r="AS61" s="1057">
        <v>0.68600000000000005</v>
      </c>
      <c r="AT61" s="1057">
        <v>0.77500000000000002</v>
      </c>
      <c r="AU61" s="1057">
        <v>0.74299999999999999</v>
      </c>
      <c r="AV61" s="1057">
        <v>0.76</v>
      </c>
      <c r="AW61" s="1057">
        <v>0.73199999999999998</v>
      </c>
      <c r="AX61" s="1251"/>
      <c r="AY61" s="981">
        <v>0.98706483551580959</v>
      </c>
      <c r="AZ61" s="981">
        <v>0.90834033322187879</v>
      </c>
      <c r="BA61" s="1245">
        <v>7.8724502293930794</v>
      </c>
      <c r="BB61" s="981"/>
      <c r="BC61" s="981"/>
      <c r="BD61" s="981">
        <v>0.98706483551580959</v>
      </c>
      <c r="BE61" s="981">
        <v>0.90834033322187879</v>
      </c>
      <c r="BF61" s="981">
        <v>0.84547329446726971</v>
      </c>
      <c r="BG61" s="981">
        <v>0.93056615770202555</v>
      </c>
      <c r="BH61" s="981">
        <v>0.88387772205517345</v>
      </c>
      <c r="BI61" s="981">
        <v>0.69288064101707247</v>
      </c>
      <c r="BJ61" s="981">
        <f t="shared" ref="BJ61" si="2">BJ56/BJ55</f>
        <v>0.79105947331649973</v>
      </c>
      <c r="BK61" s="1057">
        <v>0.94099173970888872</v>
      </c>
      <c r="BL61" s="1057">
        <v>0.78499543603263811</v>
      </c>
      <c r="BM61" s="1057">
        <v>0.753</v>
      </c>
      <c r="BN61" s="1246">
        <v>0.69399999999999995</v>
      </c>
      <c r="BO61" s="1246">
        <v>0.72499999999999998</v>
      </c>
      <c r="BP61" s="1246">
        <v>0.73</v>
      </c>
      <c r="BQ61" s="1226"/>
      <c r="BS61" s="1181"/>
      <c r="BT61" s="1181"/>
      <c r="BU61" s="1181"/>
      <c r="BV61" s="1181"/>
    </row>
    <row r="62" spans="1:74" ht="12.75" customHeight="1" x14ac:dyDescent="0.2">
      <c r="A62" s="1235"/>
      <c r="B62" s="1246" t="s">
        <v>79</v>
      </c>
      <c r="C62" s="1427">
        <v>-2.3795824421692551</v>
      </c>
      <c r="D62" s="981"/>
      <c r="E62" s="945"/>
      <c r="F62" s="945" t="e">
        <v>#DIV/0!</v>
      </c>
      <c r="G62" s="945" t="e">
        <v>#DIV/0!</v>
      </c>
      <c r="H62" s="945" t="e">
        <v>#DIV/0!</v>
      </c>
      <c r="I62" s="945">
        <v>5.0048420071016106E-2</v>
      </c>
      <c r="J62" s="981">
        <v>-1.3515756355580572E-2</v>
      </c>
      <c r="K62" s="981">
        <v>-0.15215522534692374</v>
      </c>
      <c r="L62" s="981">
        <v>-3.5886207523456457E-3</v>
      </c>
      <c r="M62" s="981">
        <v>7.3844244492708655E-2</v>
      </c>
      <c r="N62" s="981">
        <v>5.9129496357738474E-2</v>
      </c>
      <c r="O62" s="981">
        <v>-0.19851539483565364</v>
      </c>
      <c r="P62" s="981">
        <v>0.15808105969580635</v>
      </c>
      <c r="Q62" s="981">
        <v>0.15906161957097828</v>
      </c>
      <c r="R62" s="981">
        <v>0.19457406286329618</v>
      </c>
      <c r="S62" s="981">
        <v>0.1727927864793207</v>
      </c>
      <c r="T62" s="981">
        <v>5.6183943610832655E-2</v>
      </c>
      <c r="U62" s="981">
        <v>0.10360806670426657</v>
      </c>
      <c r="V62" s="981">
        <v>0.1362753819879608</v>
      </c>
      <c r="W62" s="981">
        <v>0.1710309433962264</v>
      </c>
      <c r="X62" s="981">
        <v>1.4503371909083341E-2</v>
      </c>
      <c r="Y62" s="981">
        <v>-0.16835964106968343</v>
      </c>
      <c r="Z62" s="981">
        <v>6.1317625832471009E-2</v>
      </c>
      <c r="AA62" s="981">
        <v>0.14495463822784541</v>
      </c>
      <c r="AB62" s="981">
        <v>-4.7385244485399991E-2</v>
      </c>
      <c r="AC62" s="981">
        <v>0.14680057919221171</v>
      </c>
      <c r="AD62" s="981">
        <v>0.34251485305701251</v>
      </c>
      <c r="AE62" s="981">
        <v>0.34958764162513078</v>
      </c>
      <c r="AF62" s="981">
        <v>0.21839258273774534</v>
      </c>
      <c r="AG62" s="981">
        <v>0.25976515696141866</v>
      </c>
      <c r="AH62" s="981">
        <v>0.20551882724920953</v>
      </c>
      <c r="AI62" s="981">
        <v>0.24101989835472479</v>
      </c>
      <c r="AJ62" s="981">
        <v>0.18422427524689391</v>
      </c>
      <c r="AK62" s="981">
        <v>0.19141022492017265</v>
      </c>
      <c r="AL62" s="981">
        <v>0.16090008003447639</v>
      </c>
      <c r="AM62" s="981">
        <v>-0.18369543147208123</v>
      </c>
      <c r="AN62" s="981">
        <v>-8.2521941854086664E-2</v>
      </c>
      <c r="AO62" s="981">
        <v>0.18868626721250464</v>
      </c>
      <c r="AP62" s="1057">
        <v>6.16558712242673E-2</v>
      </c>
      <c r="AQ62" s="1057">
        <v>0.21203106321235959</v>
      </c>
      <c r="AR62" s="1057">
        <v>0.18063118186615174</v>
      </c>
      <c r="AS62" s="1057">
        <v>0.31399999999999995</v>
      </c>
      <c r="AT62" s="1057">
        <v>0.22500000000000001</v>
      </c>
      <c r="AU62" s="1057">
        <v>0.25700000000000001</v>
      </c>
      <c r="AV62" s="1057">
        <v>0.24</v>
      </c>
      <c r="AW62" s="1057">
        <v>0.26800000000000002</v>
      </c>
      <c r="AX62" s="1251"/>
      <c r="AY62" s="981">
        <v>-1.9166964134743645E-2</v>
      </c>
      <c r="AZ62" s="981">
        <v>7.2233956663214291E-2</v>
      </c>
      <c r="BA62" s="1245">
        <v>-9.1400920797957941</v>
      </c>
      <c r="BB62" s="981"/>
      <c r="BC62" s="981"/>
      <c r="BD62" s="981">
        <v>-1.9166964134743645E-2</v>
      </c>
      <c r="BE62" s="981">
        <v>7.2233956663214291E-2</v>
      </c>
      <c r="BF62" s="981">
        <v>0.14066321310836485</v>
      </c>
      <c r="BG62" s="981">
        <v>6.2842747115240655E-2</v>
      </c>
      <c r="BH62" s="981">
        <v>8.4347898264150137E-2</v>
      </c>
      <c r="BI62" s="981">
        <v>0.28687778941193071</v>
      </c>
      <c r="BJ62" s="981" t="e">
        <f t="shared" ref="BJ62:BK62" si="3">BJ58/BJ55</f>
        <v>#REF!</v>
      </c>
      <c r="BK62" s="981">
        <f t="shared" si="3"/>
        <v>5.900826029111126E-2</v>
      </c>
      <c r="BL62" s="981">
        <f>BL57/BL55</f>
        <v>0.21500456396736184</v>
      </c>
      <c r="BM62" s="1057">
        <v>0.247</v>
      </c>
      <c r="BN62" s="1246">
        <v>0.30600000000000005</v>
      </c>
      <c r="BO62" s="1246">
        <v>0.27500000000000002</v>
      </c>
      <c r="BP62" s="1246">
        <v>0.27</v>
      </c>
    </row>
    <row r="63" spans="1:74" ht="12.75" customHeight="1" x14ac:dyDescent="0.2">
      <c r="A63" s="1235"/>
      <c r="B63" s="1246"/>
      <c r="C63" s="1427"/>
      <c r="D63" s="981"/>
      <c r="E63" s="945"/>
      <c r="F63" s="945"/>
      <c r="G63" s="945"/>
      <c r="H63" s="945"/>
      <c r="I63" s="945"/>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1057"/>
      <c r="AQ63" s="1057"/>
      <c r="AR63" s="1057"/>
      <c r="AS63" s="1057"/>
      <c r="AT63" s="1057"/>
      <c r="AU63" s="1057"/>
      <c r="AV63" s="1057"/>
      <c r="AW63" s="1057"/>
      <c r="AX63" s="1251"/>
      <c r="AY63" s="1251"/>
      <c r="AZ63" s="1251"/>
      <c r="BA63" s="1245"/>
      <c r="BB63" s="981"/>
      <c r="BC63" s="1251"/>
      <c r="BD63" s="1057"/>
      <c r="BE63" s="1057"/>
      <c r="BF63" s="1057"/>
      <c r="BG63" s="1057"/>
      <c r="BH63" s="1057"/>
      <c r="BI63" s="1057"/>
      <c r="BJ63" s="1057"/>
      <c r="BK63" s="1057"/>
      <c r="BL63" s="1057"/>
      <c r="BM63" s="1057"/>
      <c r="BN63" s="1246"/>
      <c r="BO63" s="1246"/>
      <c r="BP63" s="1246"/>
    </row>
    <row r="64" spans="1:74" ht="12.75" customHeight="1" x14ac:dyDescent="0.2">
      <c r="A64" s="1428" t="s">
        <v>190</v>
      </c>
      <c r="B64" s="1246"/>
      <c r="C64" s="1251"/>
      <c r="D64" s="1251"/>
      <c r="E64" s="1188"/>
      <c r="F64" s="1188"/>
      <c r="G64" s="1188"/>
      <c r="H64" s="1188"/>
      <c r="I64" s="1188"/>
      <c r="J64" s="1251"/>
      <c r="K64" s="1251"/>
      <c r="L64" s="1251"/>
      <c r="M64" s="1251"/>
      <c r="N64" s="1251"/>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969"/>
      <c r="AT64" s="1251"/>
      <c r="AU64" s="969"/>
      <c r="AV64" s="969"/>
      <c r="AW64" s="1251"/>
      <c r="AX64" s="1251"/>
      <c r="AY64" s="1251"/>
      <c r="AZ64" s="1251"/>
      <c r="BA64" s="1251"/>
      <c r="BB64" s="1251"/>
      <c r="BC64" s="1251"/>
      <c r="BD64" s="1251"/>
      <c r="BE64" s="1251"/>
      <c r="BF64" s="1251"/>
      <c r="BG64" s="1251"/>
      <c r="BH64" s="1251"/>
      <c r="BI64" s="1251"/>
      <c r="BJ64" s="1251"/>
      <c r="BK64" s="1251"/>
      <c r="BL64" s="1251"/>
      <c r="BM64" s="1251"/>
      <c r="BN64" s="1025"/>
      <c r="BO64" s="1246"/>
      <c r="BP64" s="1246"/>
    </row>
    <row r="65" spans="1:69" ht="12.75" customHeight="1" x14ac:dyDescent="0.2">
      <c r="C65" s="2455" t="s">
        <v>456</v>
      </c>
      <c r="D65" s="2456"/>
      <c r="E65" s="919"/>
      <c r="F65" s="921"/>
      <c r="G65" s="921"/>
      <c r="H65" s="921"/>
      <c r="I65" s="2313"/>
      <c r="J65" s="1000"/>
      <c r="K65" s="1000"/>
      <c r="L65" s="1000"/>
      <c r="M65" s="1001"/>
      <c r="N65" s="1000"/>
      <c r="O65" s="1000"/>
      <c r="P65" s="1000"/>
      <c r="Q65" s="1261"/>
      <c r="R65" s="1000"/>
      <c r="S65" s="1000"/>
      <c r="T65" s="1000"/>
      <c r="U65" s="1261"/>
      <c r="V65" s="1000"/>
      <c r="W65" s="1000"/>
      <c r="X65" s="1000"/>
      <c r="Y65" s="1261"/>
      <c r="Z65" s="1262"/>
      <c r="AA65" s="1263"/>
      <c r="AB65" s="1000"/>
      <c r="AC65" s="1261"/>
      <c r="AD65" s="1262"/>
      <c r="AE65" s="1263"/>
      <c r="AF65" s="1000"/>
      <c r="AG65" s="1261"/>
      <c r="AI65" s="1263"/>
      <c r="AJ65" s="964"/>
      <c r="AK65" s="1261"/>
      <c r="AL65" s="1263"/>
      <c r="AN65" s="1000"/>
      <c r="AO65" s="1261"/>
      <c r="AP65" s="1263"/>
      <c r="AQ65" s="1263"/>
      <c r="AR65" s="1263"/>
      <c r="AS65" s="1263"/>
      <c r="AT65" s="1264"/>
      <c r="AU65" s="1261"/>
      <c r="AV65" s="1261"/>
      <c r="AW65" s="1261"/>
      <c r="AX65" s="1265"/>
      <c r="AY65" s="1006" t="s">
        <v>448</v>
      </c>
      <c r="AZ65" s="1006"/>
      <c r="BA65" s="1006" t="s">
        <v>441</v>
      </c>
      <c r="BB65" s="1007"/>
      <c r="BC65" s="1251"/>
      <c r="BD65" s="1009"/>
      <c r="BE65" s="1009"/>
      <c r="BF65" s="1009"/>
      <c r="BG65" s="1009"/>
      <c r="BH65" s="1009"/>
      <c r="BI65" s="1009"/>
      <c r="BJ65" s="1009"/>
      <c r="BK65" s="1009"/>
      <c r="BL65" s="1526"/>
      <c r="BM65" s="1527"/>
      <c r="BN65" s="1009"/>
      <c r="BO65" s="1246"/>
      <c r="BP65" s="1246"/>
      <c r="BQ65" s="1266"/>
    </row>
    <row r="66" spans="1:69" ht="12.75" customHeight="1" x14ac:dyDescent="0.2">
      <c r="C66" s="2457" t="s">
        <v>39</v>
      </c>
      <c r="D66" s="2458"/>
      <c r="E66" s="924"/>
      <c r="F66" s="925" t="s">
        <v>452</v>
      </c>
      <c r="G66" s="925" t="s">
        <v>453</v>
      </c>
      <c r="H66" s="925" t="s">
        <v>454</v>
      </c>
      <c r="I66" s="2281" t="s">
        <v>455</v>
      </c>
      <c r="J66" s="1010" t="s">
        <v>399</v>
      </c>
      <c r="K66" s="1010" t="s">
        <v>398</v>
      </c>
      <c r="L66" s="1010" t="s">
        <v>397</v>
      </c>
      <c r="M66" s="1011" t="s">
        <v>395</v>
      </c>
      <c r="N66" s="1010" t="s">
        <v>373</v>
      </c>
      <c r="O66" s="1010" t="s">
        <v>374</v>
      </c>
      <c r="P66" s="1010" t="s">
        <v>375</v>
      </c>
      <c r="Q66" s="1011" t="s">
        <v>376</v>
      </c>
      <c r="R66" s="1010" t="s">
        <v>330</v>
      </c>
      <c r="S66" s="1010" t="s">
        <v>329</v>
      </c>
      <c r="T66" s="1010" t="s">
        <v>328</v>
      </c>
      <c r="U66" s="1011" t="s">
        <v>326</v>
      </c>
      <c r="V66" s="1010" t="s">
        <v>282</v>
      </c>
      <c r="W66" s="1010" t="s">
        <v>283</v>
      </c>
      <c r="X66" s="1010" t="s">
        <v>284</v>
      </c>
      <c r="Y66" s="1011" t="s">
        <v>285</v>
      </c>
      <c r="Z66" s="1012" t="s">
        <v>220</v>
      </c>
      <c r="AA66" s="1010" t="s">
        <v>221</v>
      </c>
      <c r="AB66" s="1010" t="s">
        <v>222</v>
      </c>
      <c r="AC66" s="1011" t="s">
        <v>219</v>
      </c>
      <c r="AD66" s="1012" t="s">
        <v>185</v>
      </c>
      <c r="AE66" s="1010" t="s">
        <v>186</v>
      </c>
      <c r="AF66" s="1010" t="s">
        <v>187</v>
      </c>
      <c r="AG66" s="1011" t="s">
        <v>188</v>
      </c>
      <c r="AH66" s="1010" t="s">
        <v>118</v>
      </c>
      <c r="AI66" s="1010" t="s">
        <v>117</v>
      </c>
      <c r="AJ66" s="1010" t="s">
        <v>116</v>
      </c>
      <c r="AK66" s="1011" t="s">
        <v>115</v>
      </c>
      <c r="AL66" s="1010" t="s">
        <v>83</v>
      </c>
      <c r="AM66" s="1010" t="s">
        <v>84</v>
      </c>
      <c r="AN66" s="1010" t="s">
        <v>85</v>
      </c>
      <c r="AO66" s="1011" t="s">
        <v>30</v>
      </c>
      <c r="AP66" s="1010" t="s">
        <v>31</v>
      </c>
      <c r="AQ66" s="1010" t="s">
        <v>32</v>
      </c>
      <c r="AR66" s="1010" t="s">
        <v>33</v>
      </c>
      <c r="AS66" s="1010" t="s">
        <v>34</v>
      </c>
      <c r="AT66" s="1013" t="s">
        <v>35</v>
      </c>
      <c r="AU66" s="1011" t="s">
        <v>36</v>
      </c>
      <c r="AV66" s="1011" t="s">
        <v>37</v>
      </c>
      <c r="AW66" s="1011" t="s">
        <v>38</v>
      </c>
      <c r="AX66" s="1014"/>
      <c r="AY66" s="1010" t="s">
        <v>399</v>
      </c>
      <c r="AZ66" s="1010" t="s">
        <v>373</v>
      </c>
      <c r="BA66" s="2453" t="s">
        <v>39</v>
      </c>
      <c r="BB66" s="2454"/>
      <c r="BC66" s="1251"/>
      <c r="BD66" s="1012" t="s">
        <v>438</v>
      </c>
      <c r="BE66" s="1012" t="s">
        <v>385</v>
      </c>
      <c r="BF66" s="1012" t="s">
        <v>332</v>
      </c>
      <c r="BG66" s="1012" t="s">
        <v>287</v>
      </c>
      <c r="BH66" s="1012" t="s">
        <v>224</v>
      </c>
      <c r="BI66" s="1012" t="s">
        <v>120</v>
      </c>
      <c r="BJ66" s="1012" t="s">
        <v>119</v>
      </c>
      <c r="BK66" s="1012" t="s">
        <v>43</v>
      </c>
      <c r="BL66" s="1012" t="s">
        <v>40</v>
      </c>
      <c r="BM66" s="1013" t="s">
        <v>41</v>
      </c>
      <c r="BN66" s="1013" t="s">
        <v>138</v>
      </c>
      <c r="BO66" s="1246"/>
      <c r="BP66" s="1246"/>
      <c r="BQ66" s="1266"/>
    </row>
    <row r="67" spans="1:69" ht="12.75" customHeight="1" x14ac:dyDescent="0.2">
      <c r="A67" s="1235"/>
      <c r="B67" s="969" t="s">
        <v>312</v>
      </c>
      <c r="C67" s="1252">
        <v>-264</v>
      </c>
      <c r="D67" s="1371">
        <v>-6.8771491090965928E-3</v>
      </c>
      <c r="E67" s="1187"/>
      <c r="F67" s="1206"/>
      <c r="G67" s="1206"/>
      <c r="H67" s="1206"/>
      <c r="I67" s="2291">
        <v>38124</v>
      </c>
      <c r="J67" s="1310">
        <v>42633</v>
      </c>
      <c r="K67" s="1310">
        <v>39722</v>
      </c>
      <c r="L67" s="1310">
        <v>35636</v>
      </c>
      <c r="M67" s="1326">
        <v>38388</v>
      </c>
      <c r="N67" s="1310">
        <v>42513</v>
      </c>
      <c r="O67" s="1310">
        <v>41083</v>
      </c>
      <c r="P67" s="1310">
        <v>34050</v>
      </c>
      <c r="Q67" s="1326">
        <v>41525</v>
      </c>
      <c r="R67" s="1310">
        <v>46331</v>
      </c>
      <c r="S67" s="1310">
        <v>40217</v>
      </c>
      <c r="T67" s="1310">
        <v>37823</v>
      </c>
      <c r="U67" s="1326">
        <v>42832</v>
      </c>
      <c r="V67" s="1310">
        <v>39270</v>
      </c>
      <c r="W67" s="1310">
        <v>40686</v>
      </c>
      <c r="X67" s="1310">
        <v>41061</v>
      </c>
      <c r="Y67" s="1326">
        <v>42055</v>
      </c>
      <c r="Z67" s="1310">
        <v>36190</v>
      </c>
      <c r="AA67" s="1310">
        <v>25951</v>
      </c>
      <c r="AB67" s="1310">
        <v>26032</v>
      </c>
      <c r="AC67" s="1326">
        <v>22923</v>
      </c>
      <c r="AD67" s="1310">
        <v>34956</v>
      </c>
      <c r="AE67" s="1310">
        <v>41491</v>
      </c>
      <c r="AF67" s="1310">
        <v>30122</v>
      </c>
      <c r="AG67" s="1326">
        <v>27253</v>
      </c>
      <c r="AH67" s="1310">
        <v>24606</v>
      </c>
      <c r="AI67" s="1310">
        <v>26648</v>
      </c>
      <c r="AJ67" s="1310">
        <v>26258</v>
      </c>
      <c r="AK67" s="1326">
        <v>25700</v>
      </c>
      <c r="AL67" s="1536">
        <v>24412</v>
      </c>
      <c r="AM67" s="1365">
        <v>23557</v>
      </c>
      <c r="AN67" s="1365">
        <v>27744</v>
      </c>
      <c r="AO67" s="1326">
        <v>29582</v>
      </c>
      <c r="AP67" s="1528">
        <v>29584</v>
      </c>
      <c r="AQ67" s="1251"/>
      <c r="AR67" s="1251"/>
      <c r="AS67" s="969"/>
      <c r="AT67" s="1251"/>
      <c r="AU67" s="969"/>
      <c r="AV67" s="969"/>
      <c r="AW67" s="1251"/>
      <c r="AX67" s="1274"/>
      <c r="AY67" s="1294">
        <v>156379</v>
      </c>
      <c r="AZ67" s="1294">
        <v>159171</v>
      </c>
      <c r="BA67" s="1537">
        <v>-2792</v>
      </c>
      <c r="BB67" s="1253">
        <v>-1.7540883703689742E-2</v>
      </c>
      <c r="BC67" s="1251"/>
      <c r="BD67" s="1447">
        <v>156379</v>
      </c>
      <c r="BE67" s="1447">
        <v>159171</v>
      </c>
      <c r="BF67" s="1447">
        <v>167203</v>
      </c>
      <c r="BG67" s="1447">
        <v>163072</v>
      </c>
      <c r="BH67" s="1447">
        <v>111096</v>
      </c>
      <c r="BI67" s="1327">
        <v>133822</v>
      </c>
      <c r="BJ67" s="1327">
        <v>103212</v>
      </c>
      <c r="BK67" s="1327">
        <v>105295</v>
      </c>
      <c r="BL67" s="1471">
        <v>125363</v>
      </c>
      <c r="BM67" s="1530">
        <v>125810</v>
      </c>
      <c r="BN67" s="1369">
        <v>89236</v>
      </c>
      <c r="BO67" s="1246"/>
      <c r="BP67" s="1246"/>
      <c r="BQ67" s="1266"/>
    </row>
    <row r="68" spans="1:69" ht="12.75" customHeight="1" x14ac:dyDescent="0.2">
      <c r="A68" s="1235"/>
      <c r="B68" s="969" t="s">
        <v>62</v>
      </c>
      <c r="C68" s="1252">
        <v>-27567</v>
      </c>
      <c r="D68" s="1371">
        <v>-0.4562260029127499</v>
      </c>
      <c r="E68" s="1187"/>
      <c r="F68" s="1206"/>
      <c r="G68" s="1206"/>
      <c r="H68" s="1206"/>
      <c r="I68" s="2291">
        <v>32857</v>
      </c>
      <c r="J68" s="1310">
        <v>15052</v>
      </c>
      <c r="K68" s="1310">
        <v>18276</v>
      </c>
      <c r="L68" s="1310">
        <v>28817</v>
      </c>
      <c r="M68" s="1326">
        <v>60424</v>
      </c>
      <c r="N68" s="1310">
        <v>51212</v>
      </c>
      <c r="O68" s="1310">
        <v>24086</v>
      </c>
      <c r="P68" s="1310">
        <v>60705</v>
      </c>
      <c r="Q68" s="1326">
        <v>81534</v>
      </c>
      <c r="R68" s="1310">
        <v>72731</v>
      </c>
      <c r="S68" s="1310">
        <v>66729</v>
      </c>
      <c r="T68" s="1310">
        <v>37147</v>
      </c>
      <c r="U68" s="1326">
        <v>28802</v>
      </c>
      <c r="V68" s="1310">
        <v>33074</v>
      </c>
      <c r="W68" s="1310">
        <v>34190</v>
      </c>
      <c r="X68" s="1310">
        <v>31356</v>
      </c>
      <c r="Y68" s="1326">
        <v>23046</v>
      </c>
      <c r="Z68" s="1310">
        <v>42554</v>
      </c>
      <c r="AA68" s="1310">
        <v>23556</v>
      </c>
      <c r="AB68" s="1310">
        <v>21108</v>
      </c>
      <c r="AC68" s="1326">
        <v>48446</v>
      </c>
      <c r="AD68" s="1310">
        <v>84470</v>
      </c>
      <c r="AE68" s="1310">
        <v>97802</v>
      </c>
      <c r="AF68" s="1310">
        <v>43112</v>
      </c>
      <c r="AG68" s="1326">
        <v>46456</v>
      </c>
      <c r="AH68" s="1310">
        <v>43383</v>
      </c>
      <c r="AI68" s="1310">
        <v>71705</v>
      </c>
      <c r="AJ68" s="1310">
        <v>26112</v>
      </c>
      <c r="AK68" s="1326">
        <v>40636</v>
      </c>
      <c r="AL68" s="1536">
        <v>23936</v>
      </c>
      <c r="AM68" s="1310">
        <v>7212</v>
      </c>
      <c r="AN68" s="1310">
        <v>22784</v>
      </c>
      <c r="AO68" s="1326">
        <v>43116</v>
      </c>
      <c r="AP68" s="1528">
        <v>68274</v>
      </c>
      <c r="AQ68" s="1251">
        <v>0</v>
      </c>
      <c r="AR68" s="1251">
        <v>0</v>
      </c>
      <c r="AS68" s="969">
        <v>0</v>
      </c>
      <c r="AT68" s="1251">
        <v>0</v>
      </c>
      <c r="AU68" s="969">
        <v>0</v>
      </c>
      <c r="AV68" s="969">
        <v>0</v>
      </c>
      <c r="AW68" s="1251">
        <v>0</v>
      </c>
      <c r="AX68" s="1274"/>
      <c r="AY68" s="1294">
        <v>122569</v>
      </c>
      <c r="AZ68" s="1294">
        <v>217537</v>
      </c>
      <c r="BA68" s="1294">
        <v>-94968</v>
      </c>
      <c r="BB68" s="1056">
        <v>-0.43656021734233719</v>
      </c>
      <c r="BC68" s="1251"/>
      <c r="BD68" s="1447">
        <v>122569</v>
      </c>
      <c r="BE68" s="1447">
        <v>217537</v>
      </c>
      <c r="BF68" s="1447">
        <v>205409</v>
      </c>
      <c r="BG68" s="1447">
        <v>121666</v>
      </c>
      <c r="BH68" s="1447">
        <v>135664</v>
      </c>
      <c r="BI68" s="1327">
        <v>271840</v>
      </c>
      <c r="BJ68" s="1327">
        <v>181837</v>
      </c>
      <c r="BK68" s="1327">
        <v>97048</v>
      </c>
      <c r="BL68" s="1238">
        <v>245983</v>
      </c>
      <c r="BM68" s="1282">
        <v>257102</v>
      </c>
      <c r="BN68" s="1054">
        <f>206339-13082</f>
        <v>193257</v>
      </c>
      <c r="BO68" s="1246"/>
      <c r="BP68" s="1246"/>
      <c r="BQ68" s="1266"/>
    </row>
    <row r="69" spans="1:69" ht="12.75" customHeight="1" x14ac:dyDescent="0.2">
      <c r="A69" s="1235"/>
      <c r="B69" s="969" t="s">
        <v>203</v>
      </c>
      <c r="C69" s="1252">
        <v>17404</v>
      </c>
      <c r="D69" s="1371">
        <v>0.80332333256404342</v>
      </c>
      <c r="E69" s="1187"/>
      <c r="F69" s="1206"/>
      <c r="G69" s="1206"/>
      <c r="H69" s="1206"/>
      <c r="I69" s="2291">
        <v>39069</v>
      </c>
      <c r="J69" s="1310">
        <v>54616</v>
      </c>
      <c r="K69" s="1310">
        <v>37801</v>
      </c>
      <c r="L69" s="1310">
        <v>43912</v>
      </c>
      <c r="M69" s="1326">
        <v>21665</v>
      </c>
      <c r="N69" s="1310">
        <v>40280</v>
      </c>
      <c r="O69" s="1310">
        <v>22588</v>
      </c>
      <c r="P69" s="1310">
        <v>55687</v>
      </c>
      <c r="Q69" s="1326">
        <v>32694</v>
      </c>
      <c r="R69" s="1310">
        <v>33584</v>
      </c>
      <c r="S69" s="1310">
        <v>39546</v>
      </c>
      <c r="T69" s="1310">
        <v>29877</v>
      </c>
      <c r="U69" s="1326">
        <v>35905</v>
      </c>
      <c r="V69" s="1310">
        <v>56134</v>
      </c>
      <c r="W69" s="1310">
        <v>69341</v>
      </c>
      <c r="X69" s="1310">
        <v>28559</v>
      </c>
      <c r="Y69" s="1326">
        <v>25188</v>
      </c>
      <c r="Z69" s="1310">
        <v>24598</v>
      </c>
      <c r="AA69" s="1310">
        <v>38541</v>
      </c>
      <c r="AB69" s="1322">
        <v>21661</v>
      </c>
      <c r="AC69" s="1326">
        <v>22531</v>
      </c>
      <c r="AD69" s="1310">
        <v>25702</v>
      </c>
      <c r="AE69" s="1310">
        <v>25226</v>
      </c>
      <c r="AF69" s="1310">
        <v>12965</v>
      </c>
      <c r="AG69" s="1326">
        <v>20651</v>
      </c>
      <c r="AH69" s="1310">
        <v>8323</v>
      </c>
      <c r="AI69" s="1310">
        <v>6328</v>
      </c>
      <c r="AJ69" s="1310">
        <v>15254</v>
      </c>
      <c r="AK69" s="1326">
        <v>9296</v>
      </c>
      <c r="AL69" s="1536">
        <v>8854</v>
      </c>
      <c r="AM69" s="1310">
        <v>11311</v>
      </c>
      <c r="AN69" s="1310">
        <v>6130</v>
      </c>
      <c r="AO69" s="1326">
        <v>25158</v>
      </c>
      <c r="AP69" s="1528"/>
      <c r="AQ69" s="1251"/>
      <c r="AR69" s="1251"/>
      <c r="AS69" s="969"/>
      <c r="AT69" s="1251"/>
      <c r="AU69" s="969"/>
      <c r="AV69" s="969"/>
      <c r="AW69" s="1251"/>
      <c r="AX69" s="1274"/>
      <c r="AY69" s="1294">
        <v>157994</v>
      </c>
      <c r="AZ69" s="1294">
        <v>151249</v>
      </c>
      <c r="BA69" s="1294">
        <v>6745</v>
      </c>
      <c r="BB69" s="1056">
        <v>4.4595336167511851E-2</v>
      </c>
      <c r="BC69" s="1251"/>
      <c r="BD69" s="1447">
        <v>157994</v>
      </c>
      <c r="BE69" s="1447">
        <v>151249</v>
      </c>
      <c r="BF69" s="1447">
        <v>138912</v>
      </c>
      <c r="BG69" s="1447">
        <v>179222</v>
      </c>
      <c r="BH69" s="1447">
        <v>107331</v>
      </c>
      <c r="BI69" s="1327">
        <v>84544</v>
      </c>
      <c r="BJ69" s="1327">
        <v>39200</v>
      </c>
      <c r="BK69" s="1327">
        <v>51453</v>
      </c>
      <c r="BL69" s="1238">
        <v>41087</v>
      </c>
      <c r="BM69" s="1282">
        <v>31033</v>
      </c>
      <c r="BN69" s="1054">
        <v>13082</v>
      </c>
      <c r="BO69" s="1246"/>
      <c r="BP69" s="1246"/>
      <c r="BQ69" s="1266"/>
    </row>
    <row r="70" spans="1:69" ht="12.75" customHeight="1" x14ac:dyDescent="0.2">
      <c r="A70" s="1235"/>
      <c r="B70" s="969" t="s">
        <v>63</v>
      </c>
      <c r="C70" s="1252">
        <v>4851</v>
      </c>
      <c r="D70" s="1056">
        <v>0.21580141465367678</v>
      </c>
      <c r="E70" s="1187"/>
      <c r="F70" s="1206"/>
      <c r="G70" s="1206"/>
      <c r="H70" s="1206"/>
      <c r="I70" s="2291">
        <v>27330</v>
      </c>
      <c r="J70" s="1310">
        <v>25032</v>
      </c>
      <c r="K70" s="1310">
        <v>24259</v>
      </c>
      <c r="L70" s="1310">
        <v>17493</v>
      </c>
      <c r="M70" s="1326">
        <v>22479</v>
      </c>
      <c r="N70" s="1310">
        <v>22506</v>
      </c>
      <c r="O70" s="1310">
        <v>14499</v>
      </c>
      <c r="P70" s="1310">
        <v>17621</v>
      </c>
      <c r="Q70" s="1326">
        <v>20259</v>
      </c>
      <c r="R70" s="1310">
        <v>31222</v>
      </c>
      <c r="S70" s="1310">
        <v>21770</v>
      </c>
      <c r="T70" s="1310">
        <v>18945</v>
      </c>
      <c r="U70" s="1326">
        <v>19878</v>
      </c>
      <c r="V70" s="1310">
        <v>22869</v>
      </c>
      <c r="W70" s="1310">
        <v>18602</v>
      </c>
      <c r="X70" s="1310">
        <v>17025</v>
      </c>
      <c r="Y70" s="1326">
        <v>8029</v>
      </c>
      <c r="Z70" s="1310">
        <v>6783</v>
      </c>
      <c r="AA70" s="1310">
        <v>3263</v>
      </c>
      <c r="AB70" s="1322">
        <v>-1431</v>
      </c>
      <c r="AC70" s="1326">
        <v>1596</v>
      </c>
      <c r="AD70" s="1310">
        <v>16713</v>
      </c>
      <c r="AE70" s="1310">
        <v>10128</v>
      </c>
      <c r="AF70" s="1310">
        <v>9273</v>
      </c>
      <c r="AG70" s="1326">
        <v>5850</v>
      </c>
      <c r="AH70" s="1310">
        <v>6575</v>
      </c>
      <c r="AI70" s="1310">
        <v>11377</v>
      </c>
      <c r="AJ70" s="1310">
        <v>10681</v>
      </c>
      <c r="AK70" s="1326">
        <v>8992</v>
      </c>
      <c r="AL70" s="1536">
        <v>6928</v>
      </c>
      <c r="AM70" s="1310">
        <v>4430</v>
      </c>
      <c r="AN70" s="1310">
        <v>313</v>
      </c>
      <c r="AO70" s="1326">
        <v>5363</v>
      </c>
      <c r="AP70" s="1528">
        <v>5363</v>
      </c>
      <c r="AQ70" s="1251"/>
      <c r="AR70" s="1251"/>
      <c r="AS70" s="969"/>
      <c r="AT70" s="1251"/>
      <c r="AU70" s="969"/>
      <c r="AV70" s="969"/>
      <c r="AW70" s="1251"/>
      <c r="AX70" s="1274"/>
      <c r="AY70" s="1294">
        <v>89263</v>
      </c>
      <c r="AZ70" s="1294">
        <v>74885</v>
      </c>
      <c r="BA70" s="1294">
        <v>14378</v>
      </c>
      <c r="BB70" s="1056">
        <v>0.19200106830473393</v>
      </c>
      <c r="BC70" s="1251"/>
      <c r="BD70" s="1447">
        <v>89263</v>
      </c>
      <c r="BE70" s="1447">
        <v>74885</v>
      </c>
      <c r="BF70" s="1447">
        <v>91815</v>
      </c>
      <c r="BG70" s="1447">
        <v>66525</v>
      </c>
      <c r="BH70" s="1447">
        <v>10211</v>
      </c>
      <c r="BI70" s="1327">
        <v>41964</v>
      </c>
      <c r="BJ70" s="1327">
        <v>37625</v>
      </c>
      <c r="BK70" s="1327">
        <v>17034</v>
      </c>
      <c r="BL70" s="1238">
        <v>7233</v>
      </c>
      <c r="BM70" s="1282">
        <v>26646</v>
      </c>
      <c r="BN70" s="1054">
        <v>31739</v>
      </c>
      <c r="BO70" s="1246"/>
      <c r="BP70" s="1246"/>
      <c r="BQ70" s="1266"/>
    </row>
    <row r="71" spans="1:69" ht="12.75" customHeight="1" x14ac:dyDescent="0.2">
      <c r="A71" s="1235"/>
      <c r="B71" s="969" t="s">
        <v>64</v>
      </c>
      <c r="C71" s="1252">
        <v>-797</v>
      </c>
      <c r="D71" s="1371">
        <v>-0.64326069410815179</v>
      </c>
      <c r="E71" s="1187"/>
      <c r="F71" s="1206"/>
      <c r="G71" s="1206"/>
      <c r="H71" s="1206"/>
      <c r="I71" s="2291">
        <v>442</v>
      </c>
      <c r="J71" s="1310">
        <v>597</v>
      </c>
      <c r="K71" s="1310">
        <v>731</v>
      </c>
      <c r="L71" s="1310">
        <v>704</v>
      </c>
      <c r="M71" s="1326">
        <v>1239</v>
      </c>
      <c r="N71" s="1310">
        <v>1474</v>
      </c>
      <c r="O71" s="1310">
        <v>1145</v>
      </c>
      <c r="P71" s="1310">
        <v>1806</v>
      </c>
      <c r="Q71" s="1326">
        <v>2183</v>
      </c>
      <c r="R71" s="1310">
        <v>2370</v>
      </c>
      <c r="S71" s="1310">
        <v>2182</v>
      </c>
      <c r="T71" s="1310">
        <v>2502</v>
      </c>
      <c r="U71" s="1326">
        <v>2586</v>
      </c>
      <c r="V71" s="1310">
        <v>2229</v>
      </c>
      <c r="W71" s="1310">
        <v>2872</v>
      </c>
      <c r="X71" s="1310">
        <v>1914</v>
      </c>
      <c r="Y71" s="1326">
        <v>2967</v>
      </c>
      <c r="Z71" s="1310">
        <v>2590</v>
      </c>
      <c r="AA71" s="1310">
        <v>2133</v>
      </c>
      <c r="AB71" s="1322">
        <v>1827</v>
      </c>
      <c r="AC71" s="1326">
        <v>1804</v>
      </c>
      <c r="AD71" s="1310">
        <v>1891</v>
      </c>
      <c r="AE71" s="1310">
        <v>2898</v>
      </c>
      <c r="AF71" s="1310">
        <v>1311</v>
      </c>
      <c r="AG71" s="1326">
        <v>-19</v>
      </c>
      <c r="AH71" s="1310">
        <v>248</v>
      </c>
      <c r="AI71" s="1310">
        <v>80</v>
      </c>
      <c r="AJ71" s="1310">
        <v>113</v>
      </c>
      <c r="AK71" s="1326">
        <v>124</v>
      </c>
      <c r="AL71" s="1536">
        <v>453</v>
      </c>
      <c r="AM71" s="1310">
        <v>866</v>
      </c>
      <c r="AN71" s="1310">
        <v>1320</v>
      </c>
      <c r="AO71" s="1326">
        <v>1513</v>
      </c>
      <c r="AP71" s="1528">
        <v>1512</v>
      </c>
      <c r="AQ71" s="1251"/>
      <c r="AR71" s="1251"/>
      <c r="AS71" s="969"/>
      <c r="AT71" s="1251"/>
      <c r="AU71" s="969"/>
      <c r="AV71" s="969"/>
      <c r="AW71" s="1251"/>
      <c r="AX71" s="1274"/>
      <c r="AY71" s="1294">
        <v>3271</v>
      </c>
      <c r="AZ71" s="1294">
        <v>6608</v>
      </c>
      <c r="BA71" s="1294">
        <v>-3337</v>
      </c>
      <c r="BB71" s="1056">
        <v>-0.50499394673123488</v>
      </c>
      <c r="BC71" s="1251"/>
      <c r="BD71" s="1447">
        <v>3271</v>
      </c>
      <c r="BE71" s="1447">
        <v>6608</v>
      </c>
      <c r="BF71" s="1447">
        <v>9640</v>
      </c>
      <c r="BG71" s="1447">
        <v>9982</v>
      </c>
      <c r="BH71" s="1447">
        <v>8354</v>
      </c>
      <c r="BI71" s="1327">
        <v>6081</v>
      </c>
      <c r="BJ71" s="1327">
        <v>565</v>
      </c>
      <c r="BK71" s="1327">
        <v>4152</v>
      </c>
      <c r="BL71" s="1238">
        <v>8036</v>
      </c>
      <c r="BM71" s="1282">
        <v>9202</v>
      </c>
      <c r="BN71" s="1054">
        <v>5342</v>
      </c>
      <c r="BO71" s="1246"/>
      <c r="BP71" s="1246"/>
      <c r="BQ71" s="1266"/>
    </row>
    <row r="72" spans="1:69" ht="12.75" customHeight="1" x14ac:dyDescent="0.2">
      <c r="A72" s="1429"/>
      <c r="B72" s="969" t="s">
        <v>65</v>
      </c>
      <c r="C72" s="1252">
        <v>1936</v>
      </c>
      <c r="D72" s="1372">
        <v>2.3047619047619046</v>
      </c>
      <c r="E72" s="1415"/>
      <c r="F72" s="1206"/>
      <c r="G72" s="1206"/>
      <c r="H72" s="1209"/>
      <c r="I72" s="2291">
        <v>2776</v>
      </c>
      <c r="J72" s="1310">
        <v>649</v>
      </c>
      <c r="K72" s="1310">
        <v>1356</v>
      </c>
      <c r="L72" s="1322">
        <v>-51</v>
      </c>
      <c r="M72" s="1326">
        <v>840</v>
      </c>
      <c r="N72" s="1310">
        <v>1394</v>
      </c>
      <c r="O72" s="1310">
        <v>465</v>
      </c>
      <c r="P72" s="1310">
        <v>746</v>
      </c>
      <c r="Q72" s="1326">
        <v>1050</v>
      </c>
      <c r="R72" s="1310">
        <v>421</v>
      </c>
      <c r="S72" s="1310">
        <v>790</v>
      </c>
      <c r="T72" s="1310">
        <v>397</v>
      </c>
      <c r="U72" s="1326">
        <v>1203</v>
      </c>
      <c r="V72" s="1310">
        <v>421</v>
      </c>
      <c r="W72" s="1322">
        <v>-66</v>
      </c>
      <c r="X72" s="1310">
        <v>195</v>
      </c>
      <c r="Y72" s="1326">
        <v>16</v>
      </c>
      <c r="Z72" s="1310">
        <v>352</v>
      </c>
      <c r="AA72" s="1310">
        <v>137</v>
      </c>
      <c r="AB72" s="1322">
        <v>255</v>
      </c>
      <c r="AC72" s="1373">
        <v>77</v>
      </c>
      <c r="AD72" s="1310">
        <v>39</v>
      </c>
      <c r="AE72" s="1310">
        <v>213</v>
      </c>
      <c r="AF72" s="1374">
        <v>180</v>
      </c>
      <c r="AG72" s="1373">
        <v>-39</v>
      </c>
      <c r="AH72" s="1310">
        <v>361</v>
      </c>
      <c r="AI72" s="1310">
        <v>-48</v>
      </c>
      <c r="AJ72" s="1374">
        <v>57</v>
      </c>
      <c r="AK72" s="1373">
        <v>749</v>
      </c>
      <c r="AL72" s="1536">
        <v>389</v>
      </c>
      <c r="AM72" s="1374">
        <v>1874</v>
      </c>
      <c r="AN72" s="1374">
        <v>45</v>
      </c>
      <c r="AO72" s="1373">
        <v>61</v>
      </c>
      <c r="AP72" s="1531">
        <v>60</v>
      </c>
      <c r="AQ72" s="1008"/>
      <c r="AR72" s="1008"/>
      <c r="AS72" s="1008"/>
      <c r="AT72" s="1008"/>
      <c r="AU72" s="1008"/>
      <c r="AV72" s="1008"/>
      <c r="AW72" s="1008"/>
      <c r="AX72" s="1274"/>
      <c r="AY72" s="1538">
        <v>2794</v>
      </c>
      <c r="AZ72" s="1302">
        <v>3655</v>
      </c>
      <c r="BA72" s="1302">
        <v>-861</v>
      </c>
      <c r="BB72" s="1234">
        <v>-0.23556771545827634</v>
      </c>
      <c r="BC72" s="1235"/>
      <c r="BD72" s="1451">
        <v>2794</v>
      </c>
      <c r="BE72" s="1447">
        <v>3655</v>
      </c>
      <c r="BF72" s="1447">
        <v>2811</v>
      </c>
      <c r="BG72" s="1447">
        <v>566</v>
      </c>
      <c r="BH72" s="1447">
        <v>821</v>
      </c>
      <c r="BI72" s="1535">
        <v>393</v>
      </c>
      <c r="BJ72" s="1535">
        <v>1119</v>
      </c>
      <c r="BK72" s="1535">
        <v>2369</v>
      </c>
      <c r="BL72" s="1534">
        <v>3940</v>
      </c>
      <c r="BM72" s="1305">
        <v>-76</v>
      </c>
      <c r="BN72" s="1329">
        <v>1010</v>
      </c>
      <c r="BO72" s="1246"/>
      <c r="BP72" s="1246"/>
      <c r="BQ72" s="1266"/>
    </row>
    <row r="73" spans="1:69" ht="12.75" customHeight="1" x14ac:dyDescent="0.2">
      <c r="A73" s="1429"/>
      <c r="B73" s="969"/>
      <c r="C73" s="1430">
        <v>-4437</v>
      </c>
      <c r="D73" s="1431">
        <v>-3.0592615575550729E-2</v>
      </c>
      <c r="E73" s="1185"/>
      <c r="F73" s="1416">
        <v>0</v>
      </c>
      <c r="G73" s="1416">
        <v>0</v>
      </c>
      <c r="H73" s="1416">
        <v>0</v>
      </c>
      <c r="I73" s="2318">
        <v>140598</v>
      </c>
      <c r="J73" s="1539">
        <v>138579</v>
      </c>
      <c r="K73" s="1539">
        <v>122145</v>
      </c>
      <c r="L73" s="1539">
        <v>126511</v>
      </c>
      <c r="M73" s="1540">
        <v>145035</v>
      </c>
      <c r="N73" s="1539">
        <v>159379</v>
      </c>
      <c r="O73" s="1539">
        <v>103866</v>
      </c>
      <c r="P73" s="1539">
        <v>170615</v>
      </c>
      <c r="Q73" s="1540">
        <v>179245</v>
      </c>
      <c r="R73" s="1539">
        <v>186659</v>
      </c>
      <c r="S73" s="1539">
        <v>171234</v>
      </c>
      <c r="T73" s="1539">
        <v>126691</v>
      </c>
      <c r="U73" s="1540">
        <v>131206</v>
      </c>
      <c r="V73" s="1539">
        <v>153997</v>
      </c>
      <c r="W73" s="1539">
        <v>165625</v>
      </c>
      <c r="X73" s="1539">
        <v>120110</v>
      </c>
      <c r="Y73" s="1540">
        <v>101301</v>
      </c>
      <c r="Z73" s="1539">
        <v>113067</v>
      </c>
      <c r="AA73" s="1539">
        <v>93581</v>
      </c>
      <c r="AB73" s="1539">
        <v>69452</v>
      </c>
      <c r="AC73" s="1540">
        <v>97377</v>
      </c>
      <c r="AD73" s="1539">
        <v>163771</v>
      </c>
      <c r="AE73" s="1539">
        <v>177758</v>
      </c>
      <c r="AF73" s="1539">
        <v>96963</v>
      </c>
      <c r="AG73" s="1540">
        <v>100152</v>
      </c>
      <c r="AH73" s="1539">
        <v>83496</v>
      </c>
      <c r="AI73" s="1539">
        <v>116090</v>
      </c>
      <c r="AJ73" s="1539">
        <v>78475</v>
      </c>
      <c r="AK73" s="1540">
        <v>85497</v>
      </c>
      <c r="AL73" s="1541">
        <v>64972</v>
      </c>
      <c r="AM73" s="1539">
        <v>49250</v>
      </c>
      <c r="AN73" s="1539">
        <v>58336</v>
      </c>
      <c r="AO73" s="1540">
        <v>104793</v>
      </c>
      <c r="AP73" s="1540">
        <v>104793</v>
      </c>
      <c r="AQ73" s="964"/>
      <c r="AR73" s="964"/>
      <c r="AS73" s="964"/>
      <c r="AT73" s="964"/>
      <c r="AU73" s="964"/>
      <c r="AV73" s="964"/>
      <c r="AW73" s="964"/>
      <c r="AX73" s="1265"/>
      <c r="AY73" s="1294">
        <v>532270</v>
      </c>
      <c r="AZ73" s="1294">
        <v>613105</v>
      </c>
      <c r="BA73" s="1542">
        <v>-80835</v>
      </c>
      <c r="BB73" s="1232">
        <v>-0.13184527935671703</v>
      </c>
      <c r="BD73" s="1297">
        <v>532270</v>
      </c>
      <c r="BE73" s="1543">
        <v>613105</v>
      </c>
      <c r="BF73" s="1543">
        <v>615790</v>
      </c>
      <c r="BG73" s="1543">
        <v>541033</v>
      </c>
      <c r="BH73" s="1543">
        <v>373477</v>
      </c>
      <c r="BI73" s="1543">
        <v>538644</v>
      </c>
      <c r="BJ73" s="1543">
        <f>SUM(BJ67:BJ72)</f>
        <v>363558</v>
      </c>
      <c r="BK73" s="1544">
        <v>277351</v>
      </c>
      <c r="BL73" s="1335">
        <v>431642</v>
      </c>
      <c r="BM73" s="1543">
        <f>SUM(BM67:BM72)</f>
        <v>449717</v>
      </c>
      <c r="BN73" s="1288">
        <f>SUM(BN67:BN72)</f>
        <v>333666</v>
      </c>
      <c r="BO73" s="1246"/>
      <c r="BP73" s="1246"/>
      <c r="BQ73" s="1266"/>
    </row>
    <row r="74" spans="1:69" ht="11.25" customHeight="1" x14ac:dyDescent="0.2">
      <c r="A74" s="1429"/>
      <c r="B74" s="969"/>
      <c r="C74" s="1432"/>
      <c r="D74" s="1368"/>
      <c r="E74" s="1185"/>
      <c r="F74" s="1417"/>
      <c r="G74" s="1417"/>
      <c r="H74" s="1417"/>
      <c r="I74" s="2319"/>
      <c r="J74" s="1545"/>
      <c r="K74" s="1545"/>
      <c r="L74" s="1545"/>
      <c r="M74" s="1546"/>
      <c r="N74" s="1545"/>
      <c r="O74" s="1545"/>
      <c r="P74" s="1545"/>
      <c r="Q74" s="1546"/>
      <c r="R74" s="1545"/>
      <c r="S74" s="1545"/>
      <c r="T74" s="1545"/>
      <c r="U74" s="1546"/>
      <c r="V74" s="1545"/>
      <c r="W74" s="1545"/>
      <c r="X74" s="1545"/>
      <c r="Y74" s="1546"/>
      <c r="Z74" s="1547"/>
      <c r="AA74" s="1545"/>
      <c r="AB74" s="1545"/>
      <c r="AC74" s="1546"/>
      <c r="AD74" s="1547"/>
      <c r="AE74" s="1545"/>
      <c r="AF74" s="1545"/>
      <c r="AG74" s="1546"/>
      <c r="AH74" s="1547"/>
      <c r="AI74" s="1546"/>
      <c r="AJ74" s="1546"/>
      <c r="AK74" s="1546"/>
      <c r="AL74" s="1280"/>
      <c r="AM74" s="1280"/>
      <c r="AN74" s="1280"/>
      <c r="AO74" s="1280"/>
      <c r="AP74" s="1280"/>
      <c r="AQ74" s="964"/>
      <c r="AR74" s="964"/>
      <c r="AS74" s="964"/>
      <c r="AT74" s="964"/>
      <c r="AU74" s="964"/>
      <c r="AV74" s="964"/>
      <c r="AW74" s="964"/>
      <c r="AX74" s="1265"/>
      <c r="AY74" s="1545"/>
      <c r="AZ74" s="1545"/>
      <c r="BA74" s="1545"/>
      <c r="BB74" s="1546"/>
      <c r="BD74" s="1548"/>
      <c r="BE74" s="1548"/>
      <c r="BF74" s="1548"/>
      <c r="BG74" s="1548"/>
      <c r="BH74" s="1548"/>
      <c r="BI74" s="1548"/>
      <c r="BJ74" s="1548"/>
      <c r="BK74" s="1549"/>
      <c r="BL74" s="1548"/>
      <c r="BM74" s="1548"/>
      <c r="BN74" s="1281"/>
      <c r="BO74" s="1246"/>
      <c r="BP74" s="1246"/>
      <c r="BQ74" s="1266"/>
    </row>
    <row r="75" spans="1:69" ht="13.5" customHeight="1" x14ac:dyDescent="0.2">
      <c r="A75" s="1235"/>
      <c r="B75" s="969" t="s">
        <v>412</v>
      </c>
      <c r="C75" s="1254">
        <v>-1672</v>
      </c>
      <c r="D75" s="1433">
        <v>-0.63070539419087135</v>
      </c>
      <c r="E75" s="1187"/>
      <c r="F75" s="1224"/>
      <c r="G75" s="1224"/>
      <c r="H75" s="1224"/>
      <c r="I75" s="2289">
        <v>-4323</v>
      </c>
      <c r="J75" s="1378">
        <v>-2836</v>
      </c>
      <c r="K75" s="1378">
        <v>-2475</v>
      </c>
      <c r="L75" s="1378">
        <v>-6298</v>
      </c>
      <c r="M75" s="1301">
        <v>-2651</v>
      </c>
      <c r="N75" s="1378">
        <v>-2875</v>
      </c>
      <c r="O75" s="1378">
        <v>-4152</v>
      </c>
      <c r="P75" s="1378">
        <v>-4070</v>
      </c>
      <c r="Q75" s="1301">
        <v>-2728</v>
      </c>
      <c r="R75" s="1378">
        <v>-4455</v>
      </c>
      <c r="S75" s="1378">
        <v>-3058</v>
      </c>
      <c r="T75" s="1378">
        <v>-4564</v>
      </c>
      <c r="U75" s="1301">
        <v>-2711</v>
      </c>
      <c r="V75" s="1378">
        <v>-4936</v>
      </c>
      <c r="W75" s="1378">
        <v>-4073</v>
      </c>
      <c r="X75" s="1378">
        <v>-1622</v>
      </c>
      <c r="Y75" s="1301">
        <v>-4802</v>
      </c>
      <c r="Z75" s="1378">
        <v>-1603</v>
      </c>
      <c r="AA75" s="1378">
        <v>-6363</v>
      </c>
      <c r="AB75" s="1378">
        <v>-7649</v>
      </c>
      <c r="AC75" s="1301">
        <v>-12509</v>
      </c>
      <c r="AD75" s="1378">
        <v>-10900</v>
      </c>
      <c r="AE75" s="1378">
        <v>-2762</v>
      </c>
      <c r="AF75" s="1378">
        <v>-6393</v>
      </c>
      <c r="AG75" s="1301">
        <v>-8241</v>
      </c>
      <c r="AH75" s="1300" t="s">
        <v>177</v>
      </c>
      <c r="AI75" s="1300" t="s">
        <v>177</v>
      </c>
      <c r="AJ75" s="1248" t="s">
        <v>177</v>
      </c>
      <c r="AK75" s="1293" t="s">
        <v>177</v>
      </c>
      <c r="AL75" s="1550"/>
      <c r="AM75" s="1322"/>
      <c r="AN75" s="1322"/>
      <c r="AO75" s="1293"/>
      <c r="AP75" s="1296"/>
      <c r="AQ75" s="1294"/>
      <c r="AR75" s="1294"/>
      <c r="AS75" s="1322"/>
      <c r="AT75" s="1294"/>
      <c r="AU75" s="1322"/>
      <c r="AV75" s="1322"/>
      <c r="AW75" s="1294"/>
      <c r="AX75" s="1297"/>
      <c r="AY75" s="1302">
        <v>-14260</v>
      </c>
      <c r="AZ75" s="1302">
        <v>-13825</v>
      </c>
      <c r="BA75" s="1302">
        <v>-435</v>
      </c>
      <c r="BB75" s="1234">
        <v>-3.146473779385172E-2</v>
      </c>
      <c r="BC75" s="1251"/>
      <c r="BD75" s="1551">
        <v>-14260</v>
      </c>
      <c r="BE75" s="1551">
        <v>-13825</v>
      </c>
      <c r="BF75" s="1551">
        <v>-14788</v>
      </c>
      <c r="BG75" s="1551">
        <v>-15433</v>
      </c>
      <c r="BH75" s="1551">
        <v>-28124</v>
      </c>
      <c r="BI75" s="1552">
        <v>-28296</v>
      </c>
      <c r="BJ75" s="1553" t="s">
        <v>177</v>
      </c>
      <c r="BK75" s="1553" t="s">
        <v>177</v>
      </c>
      <c r="BL75" s="1554" t="s">
        <v>177</v>
      </c>
      <c r="BM75" s="1451" t="s">
        <v>177</v>
      </c>
      <c r="BN75" s="1054"/>
      <c r="BO75" s="1246"/>
      <c r="BP75" s="1246"/>
      <c r="BQ75" s="1266"/>
    </row>
    <row r="76" spans="1:69" ht="12.75" customHeight="1" x14ac:dyDescent="0.2">
      <c r="A76" s="1429"/>
      <c r="B76" s="969"/>
      <c r="C76" s="1026"/>
      <c r="D76" s="981"/>
      <c r="J76" s="1280"/>
      <c r="K76" s="1280"/>
      <c r="L76" s="1280"/>
      <c r="M76" s="1280"/>
      <c r="N76" s="1280"/>
      <c r="O76" s="1280"/>
      <c r="P76" s="1280"/>
      <c r="Q76" s="1280"/>
      <c r="R76" s="1280"/>
      <c r="S76" s="1280"/>
      <c r="T76" s="1280"/>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964"/>
      <c r="AR76" s="964"/>
      <c r="AS76" s="964"/>
      <c r="AT76" s="964"/>
      <c r="AU76" s="964"/>
      <c r="AV76" s="964"/>
      <c r="AW76" s="964"/>
      <c r="AY76" s="1226"/>
      <c r="AZ76" s="1226"/>
      <c r="BA76" s="1555"/>
      <c r="BB76" s="975"/>
      <c r="BE76" s="1294"/>
      <c r="BF76" s="1294"/>
      <c r="BG76" s="1294"/>
      <c r="BH76" s="1294"/>
      <c r="BI76" s="1294"/>
      <c r="BJ76" s="1294"/>
      <c r="BK76" s="1280"/>
      <c r="BL76" s="1294"/>
      <c r="BM76" s="1294"/>
      <c r="BN76" s="1281"/>
      <c r="BO76" s="1246"/>
      <c r="BP76" s="1246"/>
    </row>
    <row r="77" spans="1:69" ht="12.75" customHeight="1" x14ac:dyDescent="0.2">
      <c r="A77" s="969" t="s">
        <v>381</v>
      </c>
      <c r="B77" s="990"/>
      <c r="C77" s="990"/>
      <c r="D77" s="990"/>
      <c r="E77" s="961"/>
      <c r="F77" s="961"/>
      <c r="G77" s="961"/>
      <c r="H77" s="961"/>
      <c r="I77" s="961"/>
      <c r="J77" s="1556"/>
      <c r="K77" s="1556"/>
      <c r="L77" s="1556"/>
      <c r="M77" s="1556"/>
      <c r="N77" s="1556"/>
      <c r="O77" s="1556"/>
      <c r="P77" s="1556"/>
      <c r="Q77" s="1556"/>
      <c r="R77" s="1556"/>
      <c r="S77" s="1556"/>
      <c r="T77" s="1556"/>
      <c r="U77" s="1556"/>
      <c r="V77" s="1557"/>
      <c r="W77" s="1556"/>
      <c r="X77" s="1556"/>
      <c r="Y77" s="1556"/>
      <c r="Z77" s="1556"/>
      <c r="AA77" s="1556"/>
      <c r="AB77" s="1556"/>
      <c r="AC77" s="1556"/>
      <c r="AD77" s="1556"/>
      <c r="AE77" s="1556"/>
      <c r="AF77" s="1556"/>
      <c r="AG77" s="1008"/>
      <c r="AH77" s="990"/>
      <c r="AI77" s="990"/>
      <c r="AJ77" s="990"/>
      <c r="AK77" s="1008"/>
      <c r="AL77" s="990"/>
      <c r="AM77" s="990"/>
      <c r="AN77" s="990"/>
      <c r="AO77" s="1008"/>
      <c r="AP77" s="1008"/>
      <c r="AQ77" s="1008"/>
      <c r="AR77" s="1008"/>
      <c r="AS77" s="1008"/>
      <c r="AT77" s="1008"/>
      <c r="AU77" s="1008"/>
      <c r="AV77" s="1008"/>
      <c r="AW77" s="1008"/>
      <c r="AY77" s="1226"/>
      <c r="AZ77" s="1226"/>
      <c r="BL77" s="964"/>
      <c r="BM77" s="964"/>
      <c r="BN77" s="1235"/>
      <c r="BO77" s="1235"/>
    </row>
    <row r="78" spans="1:69" x14ac:dyDescent="0.2">
      <c r="A78" s="989" t="s">
        <v>29</v>
      </c>
      <c r="B78" s="1226"/>
      <c r="C78" s="1226"/>
      <c r="D78" s="1226"/>
      <c r="J78" s="1256"/>
      <c r="K78" s="1256"/>
      <c r="L78" s="1256"/>
      <c r="M78" s="1256"/>
      <c r="N78" s="1256"/>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row>
    <row r="79" spans="1:69" x14ac:dyDescent="0.2">
      <c r="A79" s="964"/>
      <c r="Q79" s="1025"/>
      <c r="AY79" s="1558"/>
      <c r="BJ79" s="1256"/>
      <c r="BL79" s="1025"/>
      <c r="BM79" s="1025"/>
    </row>
    <row r="80" spans="1:69" x14ac:dyDescent="0.2">
      <c r="A80" s="969" t="s">
        <v>310</v>
      </c>
      <c r="J80" s="1310"/>
      <c r="K80" s="1310"/>
      <c r="L80" s="1310"/>
      <c r="M80" s="1310"/>
      <c r="N80" s="1310"/>
      <c r="O80" s="1310"/>
      <c r="P80" s="1310"/>
      <c r="Q80" s="1310"/>
      <c r="BJ80" s="1280"/>
      <c r="BK80" s="1280"/>
      <c r="BL80" s="1323"/>
      <c r="BM80" s="1323"/>
      <c r="BN80" s="1025"/>
    </row>
    <row r="81" spans="10:66" x14ac:dyDescent="0.2">
      <c r="J81" s="1258"/>
      <c r="K81" s="1258"/>
      <c r="L81" s="1258"/>
      <c r="M81" s="1258"/>
      <c r="N81" s="1258"/>
      <c r="O81" s="1258"/>
      <c r="P81" s="1258"/>
      <c r="Q81" s="1258"/>
      <c r="BJ81" s="1258"/>
      <c r="BK81" s="1226"/>
      <c r="BL81" s="1025"/>
      <c r="BM81" s="1025"/>
      <c r="BN81" s="1226"/>
    </row>
    <row r="82" spans="10:66" x14ac:dyDescent="0.2">
      <c r="J82" s="1258"/>
      <c r="K82" s="1310"/>
      <c r="L82" s="1310"/>
      <c r="M82" s="1310"/>
      <c r="N82" s="1258"/>
      <c r="O82" s="1310"/>
      <c r="P82" s="1310"/>
      <c r="Q82" s="1310"/>
      <c r="BJ82" s="1280"/>
      <c r="BK82" s="1280"/>
      <c r="BL82" s="1323"/>
      <c r="BM82" s="1323"/>
      <c r="BN82" s="1025"/>
    </row>
    <row r="83" spans="10:66" x14ac:dyDescent="0.2">
      <c r="J83" s="1258"/>
      <c r="K83" s="1256"/>
      <c r="L83" s="1256"/>
      <c r="M83" s="1256"/>
      <c r="N83" s="1258"/>
      <c r="O83" s="1256"/>
      <c r="P83" s="1256"/>
      <c r="Q83" s="1256"/>
      <c r="BJ83" s="1256"/>
      <c r="BK83" s="1256"/>
      <c r="BL83" s="1256"/>
      <c r="BM83" s="1256"/>
      <c r="BN83" s="1256"/>
    </row>
    <row r="84" spans="10:66" x14ac:dyDescent="0.2">
      <c r="AO84" s="981"/>
      <c r="AP84" s="1057"/>
      <c r="AQ84" s="1057"/>
      <c r="AR84" s="1057"/>
      <c r="AS84" s="1057"/>
      <c r="AT84" s="1057"/>
      <c r="AU84" s="1057"/>
      <c r="AV84" s="1057"/>
      <c r="AW84" s="1022"/>
      <c r="AY84" s="1226"/>
      <c r="AZ84" s="1226"/>
      <c r="BL84" s="1057"/>
      <c r="BM84" s="1057"/>
    </row>
    <row r="85" spans="10:66" x14ac:dyDescent="0.2">
      <c r="AO85" s="981"/>
      <c r="AP85" s="1057"/>
      <c r="AQ85" s="1057"/>
      <c r="AR85" s="1057"/>
      <c r="AS85" s="1057"/>
      <c r="AT85" s="1057"/>
      <c r="AU85" s="1057"/>
      <c r="AV85" s="1057"/>
      <c r="AW85" s="975"/>
      <c r="AY85" s="1226"/>
      <c r="AZ85" s="1226"/>
      <c r="BL85" s="1057"/>
      <c r="BM85" s="1057"/>
    </row>
    <row r="86" spans="10:66" x14ac:dyDescent="0.2">
      <c r="AO86" s="1057"/>
      <c r="AP86" s="1057"/>
      <c r="AQ86" s="1057"/>
      <c r="AR86" s="1057"/>
      <c r="AS86" s="1057"/>
      <c r="AT86" s="1057"/>
      <c r="AU86" s="1057"/>
      <c r="AV86" s="1057"/>
      <c r="AW86" s="1057"/>
      <c r="AY86" s="1226"/>
      <c r="AZ86" s="1226"/>
      <c r="BL86" s="1120"/>
      <c r="BM86" s="1120"/>
    </row>
    <row r="87" spans="10:66" x14ac:dyDescent="0.2">
      <c r="AO87" s="1120"/>
      <c r="AP87" s="1120"/>
      <c r="AQ87" s="1120"/>
      <c r="AR87" s="1120"/>
      <c r="AS87" s="1120"/>
      <c r="AT87" s="1120"/>
      <c r="AU87" s="1120"/>
      <c r="AV87" s="1120"/>
      <c r="AW87" s="1120"/>
      <c r="AY87" s="1226"/>
      <c r="AZ87" s="1226"/>
      <c r="BL87" s="1120"/>
      <c r="BM87" s="1120"/>
    </row>
    <row r="88" spans="10:66" x14ac:dyDescent="0.2">
      <c r="AO88" s="1120"/>
      <c r="AP88" s="1120"/>
      <c r="AQ88" s="1120"/>
      <c r="AR88" s="1120"/>
      <c r="AS88" s="1120"/>
      <c r="AT88" s="1120"/>
      <c r="AU88" s="1120"/>
      <c r="AV88" s="1120"/>
      <c r="AW88" s="1120"/>
      <c r="AY88" s="1226"/>
      <c r="AZ88" s="1226"/>
      <c r="BL88" s="1226"/>
      <c r="BM88" s="1226"/>
    </row>
    <row r="89" spans="10:66" x14ac:dyDescent="0.2">
      <c r="AO89" s="1226"/>
      <c r="AP89" s="1226"/>
      <c r="AQ89" s="1226"/>
      <c r="AR89" s="1226"/>
      <c r="AS89" s="1226"/>
      <c r="AT89" s="1226"/>
      <c r="AU89" s="1226"/>
      <c r="AV89" s="1226"/>
      <c r="AW89" s="1226"/>
      <c r="AY89" s="1226"/>
      <c r="AZ89" s="1226"/>
      <c r="BL89" s="1226"/>
      <c r="BM89" s="1226"/>
    </row>
    <row r="90" spans="10:66" x14ac:dyDescent="0.2">
      <c r="AO90" s="1226"/>
      <c r="AP90" s="1226"/>
      <c r="AQ90" s="1226"/>
      <c r="AR90" s="1226"/>
      <c r="AS90" s="1226"/>
      <c r="AT90" s="1226"/>
      <c r="AU90" s="1226"/>
      <c r="AV90" s="1226"/>
      <c r="AW90" s="1226"/>
      <c r="AY90" s="1226"/>
      <c r="AZ90" s="1226"/>
      <c r="BL90" s="1226"/>
      <c r="BM90" s="1226"/>
    </row>
    <row r="91" spans="10:66" x14ac:dyDescent="0.2">
      <c r="AO91" s="1226"/>
      <c r="AP91" s="1226"/>
      <c r="AQ91" s="1226"/>
      <c r="AR91" s="1226"/>
      <c r="AS91" s="1226"/>
      <c r="AT91" s="1226"/>
      <c r="AU91" s="1226"/>
      <c r="AV91" s="1226"/>
      <c r="AW91" s="1226"/>
      <c r="AY91" s="1226"/>
      <c r="AZ91" s="1226"/>
      <c r="BL91" s="1226"/>
      <c r="BM91" s="1226"/>
    </row>
    <row r="92" spans="10:66" x14ac:dyDescent="0.2">
      <c r="AO92" s="1226"/>
      <c r="AP92" s="1226"/>
      <c r="AQ92" s="1226"/>
      <c r="AR92" s="1226"/>
      <c r="AS92" s="1226"/>
      <c r="AT92" s="1226"/>
      <c r="AU92" s="1226"/>
      <c r="AV92" s="1226"/>
      <c r="AW92" s="1226"/>
      <c r="AY92" s="1226"/>
      <c r="AZ92" s="1226"/>
      <c r="BL92" s="1226"/>
      <c r="BM92" s="1226"/>
    </row>
    <row r="93" spans="10:66" x14ac:dyDescent="0.2">
      <c r="AO93" s="1226"/>
      <c r="AP93" s="1226"/>
      <c r="AQ93" s="1226"/>
      <c r="AR93" s="1226"/>
      <c r="AS93" s="1226"/>
      <c r="AT93" s="1226"/>
      <c r="AU93" s="1226"/>
      <c r="AV93" s="1226"/>
      <c r="AW93" s="1226"/>
      <c r="AY93" s="1226"/>
      <c r="AZ93" s="1226"/>
    </row>
  </sheetData>
  <mergeCells count="10">
    <mergeCell ref="C66:D66"/>
    <mergeCell ref="BA66:BB66"/>
    <mergeCell ref="C12:D12"/>
    <mergeCell ref="C13:D13"/>
    <mergeCell ref="BA13:BB13"/>
    <mergeCell ref="A36:B36"/>
    <mergeCell ref="C53:D53"/>
    <mergeCell ref="C54:D54"/>
    <mergeCell ref="BA54:BB54"/>
    <mergeCell ref="C65:D65"/>
  </mergeCells>
  <conditionalFormatting sqref="A76 BL47:BO47 BL42:BM46 A72:A74 A51:A52 AP42:AP46 AQ42:AW47 AP60:AW63 BK42:BK47 A64 A42:A43 B39:B43 A39 BM60:BM63 BK60:BL61 BH63:BL63">
    <cfRule type="cellIs" dxfId="70" priority="6" stopIfTrue="1" operator="equal">
      <formula>0</formula>
    </cfRule>
  </conditionalFormatting>
  <conditionalFormatting sqref="BG63">
    <cfRule type="cellIs" dxfId="69" priority="5" stopIfTrue="1" operator="equal">
      <formula>0</formula>
    </cfRule>
  </conditionalFormatting>
  <conditionalFormatting sqref="BG63">
    <cfRule type="cellIs" dxfId="68" priority="4" stopIfTrue="1" operator="equal">
      <formula>0</formula>
    </cfRule>
  </conditionalFormatting>
  <conditionalFormatting sqref="BF63">
    <cfRule type="cellIs" dxfId="67" priority="3" stopIfTrue="1" operator="equal">
      <formula>0</formula>
    </cfRule>
  </conditionalFormatting>
  <conditionalFormatting sqref="BE63">
    <cfRule type="cellIs" dxfId="66" priority="2" stopIfTrue="1" operator="equal">
      <formula>0</formula>
    </cfRule>
  </conditionalFormatting>
  <conditionalFormatting sqref="BD63">
    <cfRule type="cellIs" dxfId="65" priority="1" stopIfTrue="1" operator="equal">
      <formula>0</formula>
    </cfRule>
  </conditionalFormatting>
  <printOptions horizontalCentered="1"/>
  <pageMargins left="0.05" right="0.05" top="0.4" bottom="0.6" header="0" footer="0.3"/>
  <pageSetup scale="51" orientation="landscape" r:id="rId1"/>
  <headerFooter alignWithMargins="0">
    <oddFooter>&amp;L&amp;F&amp;CPage 3</oddFooter>
  </headerFooter>
  <colBreaks count="1" manualBreakCount="1">
    <brk id="66"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103"/>
  <sheetViews>
    <sheetView zoomScale="80" zoomScaleNormal="80" zoomScaleSheetLayoutView="80" zoomScalePageLayoutView="70" workbookViewId="0">
      <selection activeCell="A57" sqref="A57"/>
    </sheetView>
  </sheetViews>
  <sheetFormatPr defaultRowHeight="12.75" outlineLevelRow="1" x14ac:dyDescent="0.2"/>
  <cols>
    <col min="1" max="1" width="2.7109375" style="579" customWidth="1"/>
    <col min="2" max="2" width="45.7109375" style="579" customWidth="1"/>
    <col min="3" max="3" width="9.5703125" style="579" customWidth="1"/>
    <col min="4" max="4" width="9.7109375" style="579" customWidth="1"/>
    <col min="5" max="5" width="1.5703125" style="580" customWidth="1"/>
    <col min="6" max="6" width="9.7109375" style="580" hidden="1" customWidth="1"/>
    <col min="7" max="7" width="10.28515625" style="580" hidden="1" customWidth="1"/>
    <col min="8" max="8" width="8.7109375" style="580" hidden="1" customWidth="1"/>
    <col min="9" max="9" width="8.7109375" style="580" customWidth="1"/>
    <col min="10" max="10" width="9.7109375" style="580" customWidth="1"/>
    <col min="11" max="11" width="10.28515625" style="580" bestFit="1" customWidth="1"/>
    <col min="12" max="17" width="8.7109375" style="580" customWidth="1"/>
    <col min="18" max="29" width="8.7109375" style="580" hidden="1" customWidth="1"/>
    <col min="30" max="36" width="9.7109375" style="580" hidden="1" customWidth="1"/>
    <col min="37" max="45" width="9.7109375" style="579" hidden="1" customWidth="1"/>
    <col min="46" max="46" width="1.5703125" style="580" customWidth="1"/>
    <col min="47" max="47" width="9.42578125" style="579" hidden="1" customWidth="1"/>
    <col min="48" max="48" width="9" style="579" hidden="1" customWidth="1"/>
    <col min="49" max="50" width="9.7109375" style="582" hidden="1" customWidth="1"/>
    <col min="51" max="51" width="1.5703125" style="579" hidden="1" customWidth="1"/>
    <col min="52" max="56" width="9.7109375" style="579" customWidth="1"/>
    <col min="57" max="63" width="9.7109375" style="579" hidden="1" customWidth="1"/>
    <col min="64" max="64" width="1.5703125" style="579" customWidth="1"/>
    <col min="65" max="16384" width="9.140625" style="579"/>
  </cols>
  <sheetData>
    <row r="2" spans="1:71" x14ac:dyDescent="0.2">
      <c r="G2" s="581"/>
      <c r="H2" s="581"/>
      <c r="I2" s="581"/>
      <c r="K2" s="581"/>
      <c r="L2" s="581"/>
      <c r="M2" s="581"/>
      <c r="O2" s="581"/>
      <c r="P2" s="581"/>
      <c r="Q2" s="581"/>
      <c r="S2" s="581"/>
      <c r="T2" s="581"/>
      <c r="U2" s="581"/>
      <c r="X2" s="581"/>
      <c r="Y2" s="581"/>
      <c r="AB2" s="581"/>
      <c r="AC2" s="581"/>
      <c r="AF2" s="581"/>
      <c r="AG2" s="581"/>
    </row>
    <row r="5" spans="1:71" x14ac:dyDescent="0.2">
      <c r="A5" s="580"/>
      <c r="B5" s="580"/>
      <c r="C5" s="580"/>
      <c r="D5" s="580"/>
      <c r="AK5" s="580"/>
      <c r="AL5" s="580"/>
      <c r="AM5" s="580"/>
    </row>
    <row r="6" spans="1:71" ht="18" customHeight="1" x14ac:dyDescent="0.2">
      <c r="A6" s="583" t="s">
        <v>394</v>
      </c>
      <c r="B6" s="580"/>
      <c r="C6" s="580"/>
      <c r="D6" s="580"/>
      <c r="G6" s="581"/>
      <c r="H6" s="849"/>
      <c r="K6" s="581"/>
      <c r="L6" s="849"/>
      <c r="O6" s="581"/>
      <c r="P6" s="849"/>
      <c r="AK6" s="580"/>
      <c r="AL6" s="580"/>
      <c r="AM6" s="580"/>
    </row>
    <row r="7" spans="1:71" ht="18" customHeight="1" x14ac:dyDescent="0.2">
      <c r="A7" s="583" t="s">
        <v>364</v>
      </c>
      <c r="B7" s="580"/>
      <c r="C7" s="580"/>
      <c r="D7" s="580"/>
      <c r="G7" s="850"/>
      <c r="K7" s="850"/>
      <c r="O7" s="850"/>
      <c r="AK7" s="580"/>
      <c r="AL7" s="580"/>
      <c r="AM7" s="580"/>
    </row>
    <row r="8" spans="1:71" ht="18" customHeight="1" x14ac:dyDescent="0.2">
      <c r="A8" s="583" t="s">
        <v>363</v>
      </c>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0"/>
      <c r="AL8" s="580"/>
      <c r="AM8" s="580"/>
    </row>
    <row r="9" spans="1:71" ht="9.75" customHeight="1" x14ac:dyDescent="0.2">
      <c r="A9" s="585"/>
      <c r="B9" s="585"/>
      <c r="C9" s="585"/>
      <c r="D9" s="585"/>
      <c r="E9" s="585"/>
      <c r="F9" s="585"/>
      <c r="G9" s="586"/>
      <c r="H9" s="586"/>
      <c r="I9" s="585"/>
      <c r="J9" s="585"/>
      <c r="K9" s="586"/>
      <c r="L9" s="586"/>
      <c r="M9" s="585"/>
      <c r="N9" s="585"/>
      <c r="O9" s="586"/>
      <c r="P9" s="586"/>
      <c r="Q9" s="585"/>
      <c r="R9" s="585"/>
      <c r="S9" s="586"/>
      <c r="T9" s="586"/>
      <c r="U9" s="585"/>
      <c r="V9" s="585"/>
      <c r="W9" s="585"/>
      <c r="X9" s="586"/>
      <c r="Y9" s="585"/>
      <c r="Z9" s="586"/>
      <c r="AA9" s="585"/>
      <c r="AB9" s="586"/>
      <c r="AC9" s="585"/>
      <c r="AD9" s="586"/>
      <c r="AE9" s="585"/>
      <c r="AF9" s="586"/>
      <c r="AG9" s="585"/>
      <c r="AH9" s="586"/>
      <c r="AI9" s="585"/>
      <c r="AJ9" s="585"/>
      <c r="AK9" s="580"/>
      <c r="AL9" s="580"/>
      <c r="AM9" s="580"/>
      <c r="AW9" s="587"/>
      <c r="AX9" s="587"/>
    </row>
    <row r="10" spans="1:71" x14ac:dyDescent="0.2">
      <c r="A10" s="588" t="s">
        <v>1</v>
      </c>
      <c r="B10" s="589"/>
      <c r="C10" s="2467" t="s">
        <v>396</v>
      </c>
      <c r="D10" s="2468"/>
      <c r="E10" s="590"/>
      <c r="F10" s="591"/>
      <c r="G10" s="591"/>
      <c r="I10" s="592"/>
      <c r="J10" s="591"/>
      <c r="K10" s="591"/>
      <c r="M10" s="592"/>
      <c r="N10" s="591"/>
      <c r="O10" s="591"/>
      <c r="Q10" s="592"/>
      <c r="R10" s="591"/>
      <c r="S10" s="591"/>
      <c r="U10" s="592"/>
      <c r="V10" s="591"/>
      <c r="W10" s="591"/>
      <c r="Y10" s="592"/>
      <c r="Z10" s="591"/>
      <c r="AA10" s="591"/>
      <c r="AC10" s="592"/>
      <c r="AD10" s="591"/>
      <c r="AE10" s="591"/>
      <c r="AG10" s="592"/>
      <c r="AI10" s="591"/>
      <c r="AJ10" s="591"/>
      <c r="AK10" s="592"/>
      <c r="AL10" s="591"/>
      <c r="AM10" s="591"/>
      <c r="AN10" s="591"/>
      <c r="AO10" s="591"/>
      <c r="AP10" s="593"/>
      <c r="AQ10" s="592"/>
      <c r="AR10" s="592"/>
      <c r="AS10" s="592"/>
      <c r="AT10" s="599"/>
      <c r="AU10" s="438" t="s">
        <v>311</v>
      </c>
      <c r="AV10" s="438"/>
      <c r="AW10" s="438" t="s">
        <v>380</v>
      </c>
      <c r="AX10" s="439"/>
      <c r="AY10" s="595"/>
      <c r="AZ10" s="596"/>
      <c r="BA10" s="596"/>
      <c r="BB10" s="596"/>
      <c r="BC10" s="596"/>
      <c r="BD10" s="596"/>
      <c r="BE10" s="596"/>
      <c r="BF10" s="596"/>
      <c r="BG10" s="593"/>
      <c r="BH10" s="597"/>
      <c r="BI10" s="596"/>
      <c r="BJ10" s="598"/>
      <c r="BK10" s="598"/>
      <c r="BL10" s="599"/>
    </row>
    <row r="11" spans="1:71" ht="13.5" x14ac:dyDescent="0.2">
      <c r="A11" s="588" t="s">
        <v>2</v>
      </c>
      <c r="B11" s="589"/>
      <c r="C11" s="2469" t="s">
        <v>39</v>
      </c>
      <c r="D11" s="2470"/>
      <c r="E11" s="600"/>
      <c r="F11" s="19"/>
      <c r="G11" s="19"/>
      <c r="H11" s="19"/>
      <c r="I11" s="12" t="s">
        <v>395</v>
      </c>
      <c r="J11" s="19" t="s">
        <v>373</v>
      </c>
      <c r="K11" s="19" t="s">
        <v>374</v>
      </c>
      <c r="L11" s="19" t="s">
        <v>375</v>
      </c>
      <c r="M11" s="12" t="s">
        <v>376</v>
      </c>
      <c r="N11" s="601" t="s">
        <v>330</v>
      </c>
      <c r="O11" s="601" t="s">
        <v>329</v>
      </c>
      <c r="P11" s="601" t="s">
        <v>328</v>
      </c>
      <c r="Q11" s="602" t="s">
        <v>326</v>
      </c>
      <c r="R11" s="601" t="s">
        <v>282</v>
      </c>
      <c r="S11" s="601" t="s">
        <v>283</v>
      </c>
      <c r="T11" s="601" t="s">
        <v>284</v>
      </c>
      <c r="U11" s="602" t="s">
        <v>285</v>
      </c>
      <c r="V11" s="601" t="s">
        <v>220</v>
      </c>
      <c r="W11" s="601" t="s">
        <v>221</v>
      </c>
      <c r="X11" s="601" t="s">
        <v>222</v>
      </c>
      <c r="Y11" s="602" t="s">
        <v>219</v>
      </c>
      <c r="Z11" s="601" t="s">
        <v>185</v>
      </c>
      <c r="AA11" s="601" t="s">
        <v>186</v>
      </c>
      <c r="AB11" s="601" t="s">
        <v>187</v>
      </c>
      <c r="AC11" s="602" t="s">
        <v>188</v>
      </c>
      <c r="AD11" s="601" t="s">
        <v>118</v>
      </c>
      <c r="AE11" s="601" t="s">
        <v>117</v>
      </c>
      <c r="AF11" s="601" t="s">
        <v>116</v>
      </c>
      <c r="AG11" s="602" t="s">
        <v>115</v>
      </c>
      <c r="AH11" s="601" t="s">
        <v>83</v>
      </c>
      <c r="AI11" s="601" t="s">
        <v>84</v>
      </c>
      <c r="AJ11" s="601" t="s">
        <v>85</v>
      </c>
      <c r="AK11" s="602" t="s">
        <v>30</v>
      </c>
      <c r="AL11" s="601" t="s">
        <v>31</v>
      </c>
      <c r="AM11" s="601" t="s">
        <v>32</v>
      </c>
      <c r="AN11" s="601" t="s">
        <v>33</v>
      </c>
      <c r="AO11" s="601" t="s">
        <v>34</v>
      </c>
      <c r="AP11" s="603" t="s">
        <v>35</v>
      </c>
      <c r="AQ11" s="602" t="s">
        <v>36</v>
      </c>
      <c r="AR11" s="602" t="s">
        <v>37</v>
      </c>
      <c r="AS11" s="602" t="s">
        <v>38</v>
      </c>
      <c r="AT11" s="880"/>
      <c r="AU11" s="19" t="s">
        <v>374</v>
      </c>
      <c r="AV11" s="19" t="s">
        <v>329</v>
      </c>
      <c r="AW11" s="2471" t="s">
        <v>39</v>
      </c>
      <c r="AX11" s="2472"/>
      <c r="AY11" s="604"/>
      <c r="AZ11" s="18" t="s">
        <v>385</v>
      </c>
      <c r="BA11" s="18" t="s">
        <v>332</v>
      </c>
      <c r="BB11" s="605" t="s">
        <v>287</v>
      </c>
      <c r="BC11" s="605" t="s">
        <v>224</v>
      </c>
      <c r="BD11" s="605" t="s">
        <v>120</v>
      </c>
      <c r="BE11" s="605" t="s">
        <v>119</v>
      </c>
      <c r="BF11" s="603" t="s">
        <v>43</v>
      </c>
      <c r="BG11" s="603" t="s">
        <v>40</v>
      </c>
      <c r="BH11" s="605" t="s">
        <v>41</v>
      </c>
      <c r="BI11" s="605" t="s">
        <v>138</v>
      </c>
      <c r="BJ11" s="605" t="s">
        <v>139</v>
      </c>
      <c r="BK11" s="605" t="s">
        <v>140</v>
      </c>
      <c r="BL11" s="599"/>
      <c r="BM11" s="580"/>
      <c r="BN11" s="580"/>
      <c r="BO11" s="580"/>
      <c r="BP11" s="580"/>
      <c r="BQ11" s="580"/>
      <c r="BR11" s="580"/>
      <c r="BS11" s="580"/>
    </row>
    <row r="12" spans="1:71" s="617" customFormat="1" x14ac:dyDescent="0.2">
      <c r="A12" s="588"/>
      <c r="B12" s="588"/>
      <c r="C12" s="606"/>
      <c r="D12" s="607"/>
      <c r="E12" s="608"/>
      <c r="F12" s="426"/>
      <c r="G12" s="426"/>
      <c r="H12" s="426"/>
      <c r="I12" s="884"/>
      <c r="J12" s="883"/>
      <c r="K12" s="883"/>
      <c r="L12" s="883"/>
      <c r="M12" s="884"/>
      <c r="N12" s="886"/>
      <c r="O12" s="886"/>
      <c r="P12" s="886"/>
      <c r="Q12" s="887"/>
      <c r="R12" s="886"/>
      <c r="S12" s="886"/>
      <c r="T12" s="886"/>
      <c r="U12" s="887"/>
      <c r="V12" s="886"/>
      <c r="W12" s="886"/>
      <c r="X12" s="886"/>
      <c r="Y12" s="887"/>
      <c r="Z12" s="886"/>
      <c r="AA12" s="886"/>
      <c r="AB12" s="886"/>
      <c r="AC12" s="887"/>
      <c r="AD12" s="886"/>
      <c r="AE12" s="886"/>
      <c r="AF12" s="886"/>
      <c r="AG12" s="887"/>
      <c r="AH12" s="609"/>
      <c r="AI12" s="609"/>
      <c r="AJ12" s="609"/>
      <c r="AK12" s="610"/>
      <c r="AL12" s="609"/>
      <c r="AM12" s="609"/>
      <c r="AN12" s="609"/>
      <c r="AO12" s="609"/>
      <c r="AP12" s="611"/>
      <c r="AQ12" s="610"/>
      <c r="AR12" s="610"/>
      <c r="AS12" s="610"/>
      <c r="AT12" s="611"/>
      <c r="AU12" s="888"/>
      <c r="AV12" s="888"/>
      <c r="AW12" s="889"/>
      <c r="AX12" s="890"/>
      <c r="AY12" s="613"/>
      <c r="AZ12" s="891"/>
      <c r="BA12" s="891"/>
      <c r="BB12" s="891"/>
      <c r="BC12" s="891"/>
      <c r="BD12" s="891"/>
      <c r="BE12" s="614" t="s">
        <v>241</v>
      </c>
      <c r="BF12" s="614" t="s">
        <v>241</v>
      </c>
      <c r="BG12" s="614" t="s">
        <v>241</v>
      </c>
      <c r="BH12" s="614" t="s">
        <v>241</v>
      </c>
      <c r="BI12" s="614" t="s">
        <v>241</v>
      </c>
      <c r="BJ12" s="612"/>
      <c r="BK12" s="612"/>
      <c r="BL12" s="615"/>
      <c r="BM12" s="616"/>
      <c r="BN12" s="616"/>
      <c r="BO12" s="616"/>
      <c r="BP12" s="616"/>
      <c r="BQ12" s="616"/>
      <c r="BR12" s="616"/>
      <c r="BS12" s="616"/>
    </row>
    <row r="13" spans="1:71" ht="12.75" customHeight="1" x14ac:dyDescent="0.2">
      <c r="A13" s="618" t="s">
        <v>61</v>
      </c>
      <c r="B13" s="619"/>
      <c r="C13" s="620"/>
      <c r="D13" s="621"/>
      <c r="E13" s="622"/>
      <c r="F13" s="623"/>
      <c r="G13" s="623"/>
      <c r="H13" s="623"/>
      <c r="I13" s="621"/>
      <c r="J13" s="623"/>
      <c r="K13" s="623"/>
      <c r="L13" s="623"/>
      <c r="M13" s="621"/>
      <c r="N13" s="623"/>
      <c r="O13" s="623"/>
      <c r="P13" s="623"/>
      <c r="Q13" s="621"/>
      <c r="R13" s="623"/>
      <c r="S13" s="623"/>
      <c r="T13" s="623"/>
      <c r="U13" s="621"/>
      <c r="V13" s="623"/>
      <c r="W13" s="623"/>
      <c r="X13" s="623"/>
      <c r="Y13" s="621"/>
      <c r="Z13" s="623"/>
      <c r="AA13" s="623"/>
      <c r="AB13" s="623"/>
      <c r="AC13" s="621"/>
      <c r="AD13" s="623"/>
      <c r="AE13" s="623"/>
      <c r="AF13" s="623"/>
      <c r="AG13" s="621"/>
      <c r="AH13" s="623"/>
      <c r="AI13" s="623"/>
      <c r="AJ13" s="623"/>
      <c r="AK13" s="621"/>
      <c r="AL13" s="623"/>
      <c r="AM13" s="623"/>
      <c r="AN13" s="623"/>
      <c r="AO13" s="621"/>
      <c r="AP13" s="620"/>
      <c r="AQ13" s="621"/>
      <c r="AR13" s="621"/>
      <c r="AS13" s="621"/>
      <c r="AT13" s="620"/>
      <c r="AU13" s="623"/>
      <c r="AV13" s="623"/>
      <c r="AW13" s="700"/>
      <c r="AX13" s="885"/>
      <c r="AY13" s="624"/>
      <c r="AZ13" s="622"/>
      <c r="BA13" s="622"/>
      <c r="BB13" s="622"/>
      <c r="BC13" s="622"/>
      <c r="BD13" s="622"/>
      <c r="BE13" s="622"/>
      <c r="BF13" s="622"/>
      <c r="BG13" s="620"/>
      <c r="BH13" s="622"/>
      <c r="BI13" s="625"/>
      <c r="BJ13" s="626"/>
      <c r="BK13" s="626"/>
      <c r="BL13" s="599"/>
      <c r="BM13" s="580"/>
      <c r="BN13" s="580"/>
      <c r="BO13" s="580"/>
      <c r="BP13" s="580"/>
      <c r="BQ13" s="580"/>
    </row>
    <row r="14" spans="1:71" ht="12.75" customHeight="1" x14ac:dyDescent="0.2">
      <c r="A14" s="589"/>
      <c r="B14" s="621" t="s">
        <v>394</v>
      </c>
      <c r="C14" s="627">
        <f>I14-M14</f>
        <v>-31338</v>
      </c>
      <c r="D14" s="503">
        <f>IF(OR((C14/M14)&gt;3,(C14/M14)&lt;-3),"n.m.",(C14/M14))</f>
        <v>-0.26017650623915517</v>
      </c>
      <c r="E14" s="629"/>
      <c r="F14" s="630"/>
      <c r="G14" s="630"/>
      <c r="H14" s="630"/>
      <c r="I14" s="654">
        <f>+'4 Capital Markets Canada'!M15+'5 CG - US'!M15</f>
        <v>89111</v>
      </c>
      <c r="J14" s="630">
        <v>104807</v>
      </c>
      <c r="K14" s="630">
        <f>+'4 Capital Markets Canada'!O14+'5 CG - US'!O14</f>
        <v>72685</v>
      </c>
      <c r="L14" s="630">
        <f>+'4 Capital Markets Canada'!P14+'5 CG - US'!P14</f>
        <v>109616</v>
      </c>
      <c r="M14" s="654">
        <f>+'4 Capital Markets Canada'!Q14+'5 CG - US'!Q14</f>
        <v>120449</v>
      </c>
      <c r="N14" s="630">
        <f>+'4 Capital Markets Canada'!R14+'5 CG - US'!R14</f>
        <v>114330</v>
      </c>
      <c r="O14" s="630">
        <f>+'4 Capital Markets Canada'!S14+'5 CG - US'!S14</f>
        <v>89552</v>
      </c>
      <c r="P14" s="630">
        <f>+'4 Capital Markets Canada'!T14+'5 CG - US'!T14</f>
        <v>75264</v>
      </c>
      <c r="Q14" s="654">
        <f>+'4 Capital Markets Canada'!U14+'5 CG - US'!U14</f>
        <v>85853</v>
      </c>
      <c r="R14" s="630">
        <f>+'4 Capital Markets Canada'!V14+'5 CG - US'!V14</f>
        <v>102020</v>
      </c>
      <c r="S14" s="630">
        <f>+'4 Capital Markets Canada'!W14+'5 CG - US'!W14</f>
        <v>114079</v>
      </c>
      <c r="T14" s="816">
        <v>35445</v>
      </c>
      <c r="U14" s="787">
        <v>35624</v>
      </c>
      <c r="V14" s="816">
        <v>71006</v>
      </c>
      <c r="W14" s="816">
        <v>56942</v>
      </c>
      <c r="X14" s="816">
        <v>42491</v>
      </c>
      <c r="Y14" s="787">
        <f>+'3 Canaccord Genuity '!AC15</f>
        <v>61867</v>
      </c>
      <c r="Z14" s="816">
        <v>88632</v>
      </c>
      <c r="AA14" s="816">
        <v>109404</v>
      </c>
      <c r="AB14" s="816">
        <v>49909</v>
      </c>
      <c r="AC14" s="787">
        <v>53057</v>
      </c>
      <c r="AD14" s="816">
        <v>32806</v>
      </c>
      <c r="AE14" s="816">
        <v>58040</v>
      </c>
      <c r="AF14" s="817">
        <v>27314</v>
      </c>
      <c r="AG14" s="787">
        <v>30054</v>
      </c>
      <c r="AH14" s="778">
        <v>25033</v>
      </c>
      <c r="AI14" s="778">
        <v>12639</v>
      </c>
      <c r="AJ14" s="778">
        <v>23461</v>
      </c>
      <c r="AK14" s="787">
        <v>34352</v>
      </c>
      <c r="AL14" s="803">
        <v>31944</v>
      </c>
      <c r="AM14" s="791">
        <v>42952</v>
      </c>
      <c r="AN14" s="791">
        <v>39210</v>
      </c>
      <c r="AO14" s="806">
        <v>62549</v>
      </c>
      <c r="AP14" s="805">
        <v>57382</v>
      </c>
      <c r="AQ14" s="806">
        <v>48897</v>
      </c>
      <c r="AR14" s="806">
        <v>38533</v>
      </c>
      <c r="AS14" s="806">
        <v>42750</v>
      </c>
      <c r="AT14" s="805"/>
      <c r="AU14" s="816">
        <f>SUM(K14:M14)</f>
        <v>302750</v>
      </c>
      <c r="AV14" s="816">
        <f>SUM(O14:Q14)</f>
        <v>250669</v>
      </c>
      <c r="AW14" s="636">
        <f>AZ14-BA14</f>
        <v>42558</v>
      </c>
      <c r="AX14" s="628">
        <f>IF(OR((AW14/BA14)&gt;3,(AW14/BA14)&lt;-3),"n.m.",(AW14/BA14))</f>
        <v>0.11659757971939649</v>
      </c>
      <c r="AY14" s="624"/>
      <c r="AZ14" s="637">
        <f>+SUM(J14:M14)</f>
        <v>407557</v>
      </c>
      <c r="BA14" s="637">
        <f>+SUM(N14:Q14)</f>
        <v>364999</v>
      </c>
      <c r="BB14" s="637">
        <f>+'4 Capital Markets Canada'!BG14+'5 CG - US'!BG14</f>
        <v>357692</v>
      </c>
      <c r="BC14" s="637">
        <f>+'4 Capital Markets Canada'!BH14+'5 CG - US'!BH14</f>
        <v>311792</v>
      </c>
      <c r="BD14" s="637">
        <f>+'4 Capital Markets Canada'!BI14+'5 CG - US'!BI14</f>
        <v>444739</v>
      </c>
      <c r="BE14" s="637">
        <v>177581</v>
      </c>
      <c r="BF14" s="637">
        <v>122850</v>
      </c>
      <c r="BG14" s="637">
        <v>176655</v>
      </c>
      <c r="BH14" s="637">
        <v>187562</v>
      </c>
      <c r="BI14" s="625">
        <v>150470</v>
      </c>
      <c r="BJ14" s="625">
        <v>95559</v>
      </c>
      <c r="BK14" s="625"/>
      <c r="BL14" s="580"/>
      <c r="BM14" s="580"/>
      <c r="BN14" s="580"/>
      <c r="BO14" s="580"/>
      <c r="BP14" s="580"/>
      <c r="BQ14" s="580"/>
    </row>
    <row r="15" spans="1:71" ht="12.75" customHeight="1" x14ac:dyDescent="0.2">
      <c r="A15" s="619"/>
      <c r="B15" s="589"/>
      <c r="C15" s="638">
        <f>I15-M15</f>
        <v>-31338</v>
      </c>
      <c r="D15" s="639">
        <f>IF(OR((C15/M15)&gt;3,(C15/M15)&lt;-3),"n.m.",(C15/M15))</f>
        <v>-0.26017650623915517</v>
      </c>
      <c r="E15" s="629"/>
      <c r="F15" s="630"/>
      <c r="G15" s="630"/>
      <c r="H15" s="816"/>
      <c r="I15" s="818">
        <f t="shared" ref="I15:S15" si="0">+I14</f>
        <v>89111</v>
      </c>
      <c r="J15" s="630">
        <f t="shared" si="0"/>
        <v>104807</v>
      </c>
      <c r="K15" s="630">
        <f t="shared" si="0"/>
        <v>72685</v>
      </c>
      <c r="L15" s="816">
        <f t="shared" si="0"/>
        <v>109616</v>
      </c>
      <c r="M15" s="818">
        <f t="shared" si="0"/>
        <v>120449</v>
      </c>
      <c r="N15" s="630">
        <f t="shared" si="0"/>
        <v>114330</v>
      </c>
      <c r="O15" s="630">
        <f t="shared" si="0"/>
        <v>89552</v>
      </c>
      <c r="P15" s="816">
        <f t="shared" si="0"/>
        <v>75264</v>
      </c>
      <c r="Q15" s="818">
        <f t="shared" si="0"/>
        <v>85853</v>
      </c>
      <c r="R15" s="816">
        <f t="shared" si="0"/>
        <v>102020</v>
      </c>
      <c r="S15" s="816">
        <f t="shared" si="0"/>
        <v>114079</v>
      </c>
      <c r="T15" s="816">
        <v>35445</v>
      </c>
      <c r="U15" s="818">
        <v>35624</v>
      </c>
      <c r="V15" s="816">
        <v>71006</v>
      </c>
      <c r="W15" s="816">
        <v>56942</v>
      </c>
      <c r="X15" s="816">
        <v>42491</v>
      </c>
      <c r="Y15" s="818">
        <f>Y14</f>
        <v>61867</v>
      </c>
      <c r="Z15" s="816">
        <f>Z14</f>
        <v>88632</v>
      </c>
      <c r="AA15" s="816">
        <f>AA14</f>
        <v>109404</v>
      </c>
      <c r="AB15" s="816">
        <f>AB14</f>
        <v>49909</v>
      </c>
      <c r="AC15" s="818">
        <f>AC14</f>
        <v>53057</v>
      </c>
      <c r="AD15" s="816">
        <v>32806</v>
      </c>
      <c r="AE15" s="816">
        <v>58040</v>
      </c>
      <c r="AF15" s="816">
        <v>27314</v>
      </c>
      <c r="AG15" s="818">
        <v>30054</v>
      </c>
      <c r="AH15" s="819">
        <v>25033</v>
      </c>
      <c r="AI15" s="819">
        <v>12639</v>
      </c>
      <c r="AJ15" s="819">
        <v>23461</v>
      </c>
      <c r="AK15" s="818">
        <v>34352</v>
      </c>
      <c r="AL15" s="819">
        <v>31944</v>
      </c>
      <c r="AM15" s="819">
        <v>42952</v>
      </c>
      <c r="AN15" s="819">
        <v>39210</v>
      </c>
      <c r="AO15" s="819">
        <v>62549</v>
      </c>
      <c r="AP15" s="820">
        <v>57382</v>
      </c>
      <c r="AQ15" s="818">
        <v>48897</v>
      </c>
      <c r="AR15" s="818">
        <v>38533</v>
      </c>
      <c r="AS15" s="818">
        <v>42750</v>
      </c>
      <c r="AT15" s="805"/>
      <c r="AU15" s="816">
        <f>AU14</f>
        <v>302750</v>
      </c>
      <c r="AV15" s="816">
        <f>AV14</f>
        <v>250669</v>
      </c>
      <c r="AW15" s="640">
        <f>AZ15-BA15</f>
        <v>42558</v>
      </c>
      <c r="AX15" s="639">
        <f>IF(OR((AW15/BA15)&gt;3,(AW15/BA15)&lt;-3),"n.m.",(AW15/BA15))</f>
        <v>0.11659757971939649</v>
      </c>
      <c r="AY15" s="624"/>
      <c r="AZ15" s="641">
        <f>+AZ14</f>
        <v>407557</v>
      </c>
      <c r="BA15" s="641">
        <f>SUM(BA14)</f>
        <v>364999</v>
      </c>
      <c r="BB15" s="641">
        <f>+BB14</f>
        <v>357692</v>
      </c>
      <c r="BC15" s="641">
        <f>+BC14</f>
        <v>311792</v>
      </c>
      <c r="BD15" s="641">
        <f>+BD14</f>
        <v>444739</v>
      </c>
      <c r="BE15" s="641">
        <v>177581</v>
      </c>
      <c r="BF15" s="641">
        <v>122850</v>
      </c>
      <c r="BG15" s="641">
        <v>176655</v>
      </c>
      <c r="BH15" s="641">
        <v>187562</v>
      </c>
      <c r="BI15" s="642">
        <v>150470</v>
      </c>
      <c r="BJ15" s="642">
        <f>BJ14</f>
        <v>95559</v>
      </c>
      <c r="BK15" s="642">
        <v>211758</v>
      </c>
      <c r="BL15" s="580"/>
      <c r="BN15" s="580"/>
      <c r="BO15" s="580"/>
      <c r="BP15" s="580"/>
      <c r="BQ15" s="580"/>
    </row>
    <row r="16" spans="1:71" ht="12.75" customHeight="1" x14ac:dyDescent="0.2">
      <c r="A16" s="618" t="s">
        <v>5</v>
      </c>
      <c r="B16" s="589"/>
      <c r="C16" s="627"/>
      <c r="D16" s="628"/>
      <c r="E16" s="629"/>
      <c r="F16" s="633"/>
      <c r="G16" s="633"/>
      <c r="H16" s="778"/>
      <c r="I16" s="787"/>
      <c r="J16" s="633"/>
      <c r="K16" s="633"/>
      <c r="L16" s="778"/>
      <c r="M16" s="787"/>
      <c r="N16" s="633"/>
      <c r="O16" s="633"/>
      <c r="P16" s="778"/>
      <c r="Q16" s="787"/>
      <c r="R16" s="778"/>
      <c r="S16" s="778"/>
      <c r="T16" s="778"/>
      <c r="U16" s="787"/>
      <c r="V16" s="778"/>
      <c r="W16" s="821"/>
      <c r="X16" s="778"/>
      <c r="Y16" s="787"/>
      <c r="Z16" s="778"/>
      <c r="AA16" s="821"/>
      <c r="AB16" s="778"/>
      <c r="AC16" s="787"/>
      <c r="AD16" s="778"/>
      <c r="AE16" s="821"/>
      <c r="AF16" s="778"/>
      <c r="AG16" s="787"/>
      <c r="AH16" s="821"/>
      <c r="AI16" s="821"/>
      <c r="AJ16" s="821"/>
      <c r="AK16" s="822"/>
      <c r="AL16" s="788"/>
      <c r="AM16" s="788"/>
      <c r="AN16" s="788"/>
      <c r="AO16" s="788"/>
      <c r="AP16" s="789"/>
      <c r="AQ16" s="787"/>
      <c r="AR16" s="787"/>
      <c r="AS16" s="787"/>
      <c r="AT16" s="805"/>
      <c r="AU16" s="778"/>
      <c r="AV16" s="778"/>
      <c r="AW16" s="636"/>
      <c r="AX16" s="628"/>
      <c r="AY16" s="624"/>
      <c r="AZ16" s="646"/>
      <c r="BA16" s="646"/>
      <c r="BB16" s="646"/>
      <c r="BC16" s="646"/>
      <c r="BD16" s="646"/>
      <c r="BE16" s="646"/>
      <c r="BF16" s="646"/>
      <c r="BG16" s="637"/>
      <c r="BH16" s="637"/>
      <c r="BI16" s="647"/>
      <c r="BJ16" s="647"/>
      <c r="BK16" s="647"/>
      <c r="BL16" s="580"/>
      <c r="BN16" s="580"/>
      <c r="BO16" s="580"/>
      <c r="BP16" s="580"/>
      <c r="BQ16" s="580"/>
    </row>
    <row r="17" spans="1:69" ht="12.75" customHeight="1" x14ac:dyDescent="0.2">
      <c r="A17" s="618"/>
      <c r="B17" s="589" t="s">
        <v>349</v>
      </c>
      <c r="C17" s="627">
        <f>I17-M17</f>
        <v>-17357</v>
      </c>
      <c r="D17" s="628">
        <f>IF(OR((C17/M17)&gt;3,(C17/M17)&lt;-3),"n.m.",(C17/M17))</f>
        <v>-0.32242903849011739</v>
      </c>
      <c r="E17" s="629"/>
      <c r="F17" s="633"/>
      <c r="G17" s="633"/>
      <c r="H17" s="778"/>
      <c r="I17" s="787">
        <f>+'4 Capital Markets Canada'!M17+'5 CG - US'!M17</f>
        <v>36475</v>
      </c>
      <c r="J17" s="633">
        <f>+'4 Capital Markets Canada'!N17+'5 CG - US'!N17</f>
        <v>48048</v>
      </c>
      <c r="K17" s="633">
        <f>+'4 Capital Markets Canada'!O17+'5 CG - US'!O17</f>
        <v>30976</v>
      </c>
      <c r="L17" s="778">
        <f>+'4 Capital Markets Canada'!P17+'5 CG - US'!P17</f>
        <v>48892</v>
      </c>
      <c r="M17" s="787">
        <f>+'4 Capital Markets Canada'!Q17+'5 CG - US'!Q17</f>
        <v>53832</v>
      </c>
      <c r="N17" s="633">
        <f>+'4 Capital Markets Canada'!R17+'5 CG - US'!R17</f>
        <v>49017</v>
      </c>
      <c r="O17" s="633">
        <f>+'4 Capital Markets Canada'!S17+'5 CG - US'!S17</f>
        <v>40629</v>
      </c>
      <c r="P17" s="778">
        <f>+'4 Capital Markets Canada'!T17+'5 CG - US'!T17</f>
        <v>32900</v>
      </c>
      <c r="Q17" s="787">
        <f>+'4 Capital Markets Canada'!U17+'5 CG - US'!U17</f>
        <v>34382</v>
      </c>
      <c r="R17" s="778">
        <f>+'4 Capital Markets Canada'!V17+'5 CG - US'!V17</f>
        <v>48185</v>
      </c>
      <c r="S17" s="778">
        <f>+'4 Capital Markets Canada'!W17+'5 CG - US'!W17</f>
        <v>51074</v>
      </c>
      <c r="T17" s="778">
        <v>13998</v>
      </c>
      <c r="U17" s="787">
        <v>13566</v>
      </c>
      <c r="V17" s="778">
        <v>30200</v>
      </c>
      <c r="W17" s="778">
        <v>23452</v>
      </c>
      <c r="X17" s="778">
        <v>16998</v>
      </c>
      <c r="Y17" s="787">
        <f>+'3 Canaccord Genuity '!AC21-'6 CG - UK'!AC16-'5 CG - US'!AC17-'7 CG Other Foreign Loc'!AC19</f>
        <v>29195</v>
      </c>
      <c r="Z17" s="778">
        <v>43043</v>
      </c>
      <c r="AA17" s="778">
        <v>47584</v>
      </c>
      <c r="AB17" s="778">
        <v>20732</v>
      </c>
      <c r="AC17" s="787"/>
      <c r="AD17" s="778"/>
      <c r="AE17" s="778"/>
      <c r="AF17" s="778"/>
      <c r="AG17" s="787"/>
      <c r="AH17" s="778"/>
      <c r="AI17" s="778"/>
      <c r="AJ17" s="778"/>
      <c r="AK17" s="787"/>
      <c r="AL17" s="788"/>
      <c r="AM17" s="788"/>
      <c r="AN17" s="788"/>
      <c r="AO17" s="788"/>
      <c r="AP17" s="789"/>
      <c r="AQ17" s="787"/>
      <c r="AR17" s="787"/>
      <c r="AS17" s="787"/>
      <c r="AT17" s="805"/>
      <c r="AU17" s="778">
        <f>SUM(K17:M17)</f>
        <v>133700</v>
      </c>
      <c r="AV17" s="788">
        <f>SUM(O17:Q17)</f>
        <v>107911</v>
      </c>
      <c r="AW17" s="636">
        <f>AZ17-BA17</f>
        <v>24820</v>
      </c>
      <c r="AX17" s="628">
        <f t="shared" ref="AX17:AX29" si="1">IF(OR((AW17/BA17)&gt;3,(AW17/BA17)&lt;-3),"n.m.",(AW17/BA17))</f>
        <v>0.15816170473083196</v>
      </c>
      <c r="AY17" s="624"/>
      <c r="AZ17" s="648">
        <f>+SUM(J17:M17)</f>
        <v>181748</v>
      </c>
      <c r="BA17" s="648">
        <f>+SUM(N17:Q17)</f>
        <v>156928</v>
      </c>
      <c r="BB17" s="648">
        <f>+'4 Capital Markets Canada'!BG17+'5 CG - US'!BG17</f>
        <v>164527</v>
      </c>
      <c r="BC17" s="648">
        <f>+'4 Capital Markets Canada'!BH17+'5 CG - US'!BH17</f>
        <v>141721</v>
      </c>
      <c r="BD17" s="636">
        <f>+'4 Capital Markets Canada'!BI17+'5 CG - US'!BI17</f>
        <v>201560</v>
      </c>
      <c r="BE17" s="649">
        <v>86644</v>
      </c>
      <c r="BF17" s="649">
        <v>63086</v>
      </c>
      <c r="BG17" s="649">
        <v>88234</v>
      </c>
      <c r="BH17" s="650"/>
      <c r="BI17" s="647"/>
      <c r="BJ17" s="647"/>
      <c r="BK17" s="647"/>
      <c r="BL17" s="599"/>
      <c r="BN17" s="580"/>
      <c r="BO17" s="580"/>
      <c r="BP17" s="580"/>
      <c r="BQ17" s="580"/>
    </row>
    <row r="18" spans="1:69" ht="12.75" customHeight="1" x14ac:dyDescent="0.2">
      <c r="A18" s="618"/>
      <c r="B18" s="589" t="s">
        <v>350</v>
      </c>
      <c r="C18" s="651">
        <f>I18-M18</f>
        <v>888</v>
      </c>
      <c r="D18" s="652">
        <f>IF(OR((C18/M18)&gt;3,(C18/M18)&lt;-3),"n.m.",(C18/M18))</f>
        <v>0.16654163540885222</v>
      </c>
      <c r="E18" s="629"/>
      <c r="F18" s="653"/>
      <c r="G18" s="653"/>
      <c r="H18" s="823"/>
      <c r="I18" s="824">
        <f>+'4 Capital Markets Canada'!M18+'5 CG - US'!M18</f>
        <v>6220</v>
      </c>
      <c r="J18" s="653">
        <f>+'4 Capital Markets Canada'!N18+'5 CG - US'!N18</f>
        <v>7699</v>
      </c>
      <c r="K18" s="653">
        <f>+'4 Capital Markets Canada'!O18+'5 CG - US'!O18</f>
        <v>6503</v>
      </c>
      <c r="L18" s="823">
        <f>+'4 Capital Markets Canada'!P18+'5 CG - US'!P18</f>
        <v>5871</v>
      </c>
      <c r="M18" s="824">
        <f>+'4 Capital Markets Canada'!Q18+'5 CG - US'!Q18</f>
        <v>5332</v>
      </c>
      <c r="N18" s="653">
        <f>+'4 Capital Markets Canada'!R18+'5 CG - US'!R18</f>
        <v>5533</v>
      </c>
      <c r="O18" s="653">
        <f>+'4 Capital Markets Canada'!S18+'5 CG - US'!S18</f>
        <v>4972</v>
      </c>
      <c r="P18" s="823">
        <f>+'4 Capital Markets Canada'!T18+'5 CG - US'!T18</f>
        <v>5893</v>
      </c>
      <c r="Q18" s="824">
        <f>+'4 Capital Markets Canada'!U18+'5 CG - US'!U18</f>
        <v>5959</v>
      </c>
      <c r="R18" s="823">
        <f>+'4 Capital Markets Canada'!V18+'5 CG - US'!V18</f>
        <v>4561</v>
      </c>
      <c r="S18" s="823">
        <f>+'4 Capital Markets Canada'!W18+'5 CG - US'!W18</f>
        <v>3928</v>
      </c>
      <c r="T18" s="823">
        <v>5475</v>
      </c>
      <c r="U18" s="824">
        <v>3512</v>
      </c>
      <c r="V18" s="823">
        <v>6279</v>
      </c>
      <c r="W18" s="823">
        <v>3254</v>
      </c>
      <c r="X18" s="823">
        <v>3168</v>
      </c>
      <c r="Y18" s="824">
        <f>+'3 Canaccord Genuity '!AC22-'6 CG - UK'!AC17-'5 CG - US'!AC18-'7 CG Other Foreign Loc'!AC20</f>
        <v>-3366</v>
      </c>
      <c r="Z18" s="823">
        <v>-3740</v>
      </c>
      <c r="AA18" s="823">
        <v>598</v>
      </c>
      <c r="AB18" s="823">
        <v>1780</v>
      </c>
      <c r="AC18" s="787"/>
      <c r="AD18" s="778"/>
      <c r="AE18" s="778"/>
      <c r="AF18" s="778"/>
      <c r="AG18" s="787"/>
      <c r="AH18" s="778"/>
      <c r="AI18" s="778"/>
      <c r="AJ18" s="778"/>
      <c r="AK18" s="787"/>
      <c r="AL18" s="788"/>
      <c r="AM18" s="788"/>
      <c r="AN18" s="788"/>
      <c r="AO18" s="788"/>
      <c r="AP18" s="789"/>
      <c r="AQ18" s="787"/>
      <c r="AR18" s="787"/>
      <c r="AS18" s="787"/>
      <c r="AT18" s="805"/>
      <c r="AU18" s="823">
        <f>SUM(K18:M18)</f>
        <v>17706</v>
      </c>
      <c r="AV18" s="816">
        <f>SUM(O18:Q18)</f>
        <v>16824</v>
      </c>
      <c r="AW18" s="655">
        <f>AZ18-BA18</f>
        <v>3048</v>
      </c>
      <c r="AX18" s="652">
        <f t="shared" si="1"/>
        <v>0.13633313950887865</v>
      </c>
      <c r="AY18" s="624"/>
      <c r="AZ18" s="656">
        <f>+SUM(J18:M18)</f>
        <v>25405</v>
      </c>
      <c r="BA18" s="656">
        <f>+SUM(N18:Q18)</f>
        <v>22357</v>
      </c>
      <c r="BB18" s="656">
        <f>+'4 Capital Markets Canada'!BG18+'5 CG - US'!BG18</f>
        <v>18906</v>
      </c>
      <c r="BC18" s="656">
        <f>+'4 Capital Markets Canada'!BH18+'5 CG - US'!BH18</f>
        <v>13778</v>
      </c>
      <c r="BD18" s="655">
        <f>+'4 Capital Markets Canada'!BI18+'5 CG - US'!BI18</f>
        <v>1734</v>
      </c>
      <c r="BE18" s="657">
        <v>6489</v>
      </c>
      <c r="BF18" s="657">
        <v>3937</v>
      </c>
      <c r="BG18" s="657">
        <v>-253</v>
      </c>
      <c r="BH18" s="650"/>
      <c r="BI18" s="647"/>
      <c r="BJ18" s="647"/>
      <c r="BK18" s="647"/>
      <c r="BL18" s="599"/>
      <c r="BN18" s="580"/>
      <c r="BO18" s="580"/>
      <c r="BP18" s="580"/>
      <c r="BQ18" s="580"/>
    </row>
    <row r="19" spans="1:69" ht="12.75" customHeight="1" x14ac:dyDescent="0.2">
      <c r="A19" s="619"/>
      <c r="B19" s="110" t="s">
        <v>209</v>
      </c>
      <c r="C19" s="627">
        <f>I19-M19</f>
        <v>-16469</v>
      </c>
      <c r="D19" s="628">
        <f>IF(OR((C19/M19)&gt;3,(C19/M19)&lt;-3),"n.m.",(C19/M19))</f>
        <v>-0.27836184166046918</v>
      </c>
      <c r="E19" s="629"/>
      <c r="F19" s="633"/>
      <c r="G19" s="633"/>
      <c r="H19" s="778"/>
      <c r="I19" s="787">
        <f>+SUM(I17:I18)</f>
        <v>42695</v>
      </c>
      <c r="J19" s="633">
        <f t="shared" ref="J19:S19" si="2">+J17+J18</f>
        <v>55747</v>
      </c>
      <c r="K19" s="633">
        <f t="shared" si="2"/>
        <v>37479</v>
      </c>
      <c r="L19" s="778">
        <f t="shared" si="2"/>
        <v>54763</v>
      </c>
      <c r="M19" s="787">
        <f t="shared" si="2"/>
        <v>59164</v>
      </c>
      <c r="N19" s="633">
        <f t="shared" si="2"/>
        <v>54550</v>
      </c>
      <c r="O19" s="633">
        <f t="shared" si="2"/>
        <v>45601</v>
      </c>
      <c r="P19" s="778">
        <f t="shared" si="2"/>
        <v>38793</v>
      </c>
      <c r="Q19" s="787">
        <f t="shared" si="2"/>
        <v>40341</v>
      </c>
      <c r="R19" s="778">
        <f t="shared" si="2"/>
        <v>52746</v>
      </c>
      <c r="S19" s="778">
        <f t="shared" si="2"/>
        <v>55002</v>
      </c>
      <c r="T19" s="778">
        <f>SUM(T17:T18)</f>
        <v>19473</v>
      </c>
      <c r="U19" s="787">
        <v>17078</v>
      </c>
      <c r="V19" s="778">
        <v>36479</v>
      </c>
      <c r="W19" s="778">
        <v>26706</v>
      </c>
      <c r="X19" s="778">
        <v>20166</v>
      </c>
      <c r="Y19" s="787">
        <f>+Y17+Y18</f>
        <v>25829</v>
      </c>
      <c r="Z19" s="778">
        <v>39303</v>
      </c>
      <c r="AA19" s="778">
        <v>48182</v>
      </c>
      <c r="AB19" s="778">
        <v>22512</v>
      </c>
      <c r="AC19" s="787">
        <v>22508</v>
      </c>
      <c r="AD19" s="778">
        <v>16925</v>
      </c>
      <c r="AE19" s="778">
        <v>30817</v>
      </c>
      <c r="AF19" s="778">
        <v>14959</v>
      </c>
      <c r="AG19" s="787">
        <v>17215</v>
      </c>
      <c r="AH19" s="778">
        <v>12371</v>
      </c>
      <c r="AI19" s="778">
        <v>10291</v>
      </c>
      <c r="AJ19" s="778">
        <v>13228</v>
      </c>
      <c r="AK19" s="787">
        <v>19085</v>
      </c>
      <c r="AL19" s="788">
        <v>16510</v>
      </c>
      <c r="AM19" s="788">
        <v>57933</v>
      </c>
      <c r="AN19" s="788">
        <v>42205</v>
      </c>
      <c r="AO19" s="788">
        <v>76203</v>
      </c>
      <c r="AP19" s="789">
        <v>70783</v>
      </c>
      <c r="AQ19" s="787">
        <v>51546</v>
      </c>
      <c r="AR19" s="787">
        <v>45305</v>
      </c>
      <c r="AS19" s="787">
        <v>65948</v>
      </c>
      <c r="AT19" s="805"/>
      <c r="AU19" s="778">
        <f>SUM(AU17:AU18)</f>
        <v>151406</v>
      </c>
      <c r="AV19" s="788">
        <f>SUM(AV17:AV18)</f>
        <v>124735</v>
      </c>
      <c r="AW19" s="636">
        <f>AZ19-BA19</f>
        <v>27868</v>
      </c>
      <c r="AX19" s="628">
        <f t="shared" si="1"/>
        <v>0.1554396631062275</v>
      </c>
      <c r="AY19" s="624"/>
      <c r="AZ19" s="637">
        <f>+AZ17+AZ18</f>
        <v>207153</v>
      </c>
      <c r="BA19" s="637">
        <f>+BA17+BA18</f>
        <v>179285</v>
      </c>
      <c r="BB19" s="637">
        <f>+BB17+BB18</f>
        <v>183433</v>
      </c>
      <c r="BC19" s="637">
        <f>+BC17+BC18</f>
        <v>155499</v>
      </c>
      <c r="BD19" s="637">
        <f>+BD17+BD18</f>
        <v>203294</v>
      </c>
      <c r="BE19" s="637">
        <v>93133</v>
      </c>
      <c r="BF19" s="637">
        <v>67023</v>
      </c>
      <c r="BG19" s="637">
        <v>87981</v>
      </c>
      <c r="BH19" s="637">
        <v>98642</v>
      </c>
      <c r="BI19" s="647">
        <v>82259</v>
      </c>
      <c r="BJ19" s="647">
        <v>47759</v>
      </c>
      <c r="BK19" s="647">
        <v>120298</v>
      </c>
      <c r="BL19" s="599"/>
      <c r="BN19" s="580"/>
      <c r="BO19" s="580"/>
      <c r="BP19" s="580"/>
      <c r="BQ19" s="580"/>
    </row>
    <row r="20" spans="1:69" ht="12.75" customHeight="1" x14ac:dyDescent="0.2">
      <c r="A20" s="619"/>
      <c r="B20" s="621" t="s">
        <v>66</v>
      </c>
      <c r="C20" s="627">
        <f>I20-M20</f>
        <v>-653</v>
      </c>
      <c r="D20" s="628">
        <f>IF(OR((C20/M20)&gt;3,(C20/M20)&lt;-3),"n.m.",(C20/M20))</f>
        <v>-0.15514373960560704</v>
      </c>
      <c r="E20" s="629"/>
      <c r="F20" s="633"/>
      <c r="G20" s="633"/>
      <c r="H20" s="778"/>
      <c r="I20" s="787">
        <f>+'4 Capital Markets Canada'!M20+'5 CG - US'!M20</f>
        <v>3556</v>
      </c>
      <c r="J20" s="633">
        <f>+'4 Capital Markets Canada'!N20+'5 CG - US'!N20</f>
        <v>4004</v>
      </c>
      <c r="K20" s="633">
        <f>+'4 Capital Markets Canada'!O20+'5 CG - US'!O20</f>
        <v>3608</v>
      </c>
      <c r="L20" s="778">
        <f>+'4 Capital Markets Canada'!P20+'5 CG - US'!P20</f>
        <v>3391</v>
      </c>
      <c r="M20" s="787">
        <f>+'4 Capital Markets Canada'!Q20+'5 CG - US'!Q20</f>
        <v>4209</v>
      </c>
      <c r="N20" s="633">
        <f>+'4 Capital Markets Canada'!R20+'5 CG - US'!R20</f>
        <v>3492</v>
      </c>
      <c r="O20" s="633">
        <f>+'4 Capital Markets Canada'!S20+'5 CG - US'!S20</f>
        <v>3843</v>
      </c>
      <c r="P20" s="778">
        <f>+'4 Capital Markets Canada'!T20+'5 CG - US'!T20</f>
        <v>3648</v>
      </c>
      <c r="Q20" s="787">
        <f>+'4 Capital Markets Canada'!U20+'5 CG - US'!U20</f>
        <v>3769</v>
      </c>
      <c r="R20" s="778">
        <f>+'4 Capital Markets Canada'!V20+'5 CG - US'!V20</f>
        <v>4433</v>
      </c>
      <c r="S20" s="778">
        <f>+'4 Capital Markets Canada'!W20+'5 CG - US'!W20</f>
        <v>3585</v>
      </c>
      <c r="T20" s="778">
        <v>2221</v>
      </c>
      <c r="U20" s="787">
        <v>1737</v>
      </c>
      <c r="V20" s="778">
        <v>1421</v>
      </c>
      <c r="W20" s="778">
        <v>1310</v>
      </c>
      <c r="X20" s="778">
        <v>867</v>
      </c>
      <c r="Y20" s="787">
        <f>+'3 Canaccord Genuity '!AC24-'6 CG - UK'!AC19-'5 CG - US'!AC20-'7 CG Other Foreign Loc'!AC22</f>
        <v>1866</v>
      </c>
      <c r="Z20" s="778">
        <v>733</v>
      </c>
      <c r="AA20" s="778">
        <v>930</v>
      </c>
      <c r="AB20" s="778">
        <v>1056</v>
      </c>
      <c r="AC20" s="787">
        <v>1141</v>
      </c>
      <c r="AD20" s="778">
        <v>736</v>
      </c>
      <c r="AE20" s="778">
        <v>1106</v>
      </c>
      <c r="AF20" s="778">
        <v>445</v>
      </c>
      <c r="AG20" s="787">
        <v>469</v>
      </c>
      <c r="AH20" s="778">
        <v>514</v>
      </c>
      <c r="AI20" s="778">
        <v>535</v>
      </c>
      <c r="AJ20" s="778">
        <v>708</v>
      </c>
      <c r="AK20" s="787">
        <v>937</v>
      </c>
      <c r="AL20" s="788">
        <v>571</v>
      </c>
      <c r="AM20" s="788">
        <v>3275</v>
      </c>
      <c r="AN20" s="788">
        <v>3194</v>
      </c>
      <c r="AO20" s="788">
        <v>4019</v>
      </c>
      <c r="AP20" s="789">
        <v>2619</v>
      </c>
      <c r="AQ20" s="787">
        <v>3158</v>
      </c>
      <c r="AR20" s="787">
        <v>2228</v>
      </c>
      <c r="AS20" s="787">
        <v>3188</v>
      </c>
      <c r="AT20" s="805"/>
      <c r="AU20" s="778">
        <f>SUM(K20:M20)</f>
        <v>11208</v>
      </c>
      <c r="AV20" s="778">
        <f>SUM(O20:Q20)</f>
        <v>11260</v>
      </c>
      <c r="AW20" s="790">
        <f>AZ20-BA20</f>
        <v>460</v>
      </c>
      <c r="AX20" s="628">
        <f t="shared" si="1"/>
        <v>3.1182212581344904E-2</v>
      </c>
      <c r="AY20" s="791"/>
      <c r="AZ20" s="511">
        <f t="shared" ref="AZ20:AZ30" si="3">+SUM(J20:M20)</f>
        <v>15212</v>
      </c>
      <c r="BA20" s="511">
        <f t="shared" ref="BA20:BA31" si="4">+SUM(N20:Q20)</f>
        <v>14752</v>
      </c>
      <c r="BB20" s="511">
        <f>+'4 Capital Markets Canada'!BG20+'5 CG - US'!BG20</f>
        <v>16886</v>
      </c>
      <c r="BC20" s="511">
        <f>+'4 Capital Markets Canada'!BH20+'5 CG - US'!BH20</f>
        <v>10036</v>
      </c>
      <c r="BD20" s="511">
        <f>+'4 Capital Markets Canada'!BI20+'5 CG - US'!BI20</f>
        <v>10681</v>
      </c>
      <c r="BE20" s="511">
        <v>4482</v>
      </c>
      <c r="BF20" s="792">
        <v>4289</v>
      </c>
      <c r="BG20" s="637">
        <v>3159</v>
      </c>
      <c r="BH20" s="637">
        <v>1847</v>
      </c>
      <c r="BI20" s="647">
        <v>2414</v>
      </c>
      <c r="BJ20" s="647">
        <v>6699</v>
      </c>
      <c r="BK20" s="647">
        <v>12517</v>
      </c>
      <c r="BL20" s="580"/>
      <c r="BN20" s="580"/>
      <c r="BO20" s="580"/>
      <c r="BP20" s="580"/>
      <c r="BQ20" s="580"/>
    </row>
    <row r="21" spans="1:69" ht="12.75" hidden="1" customHeight="1" x14ac:dyDescent="0.2">
      <c r="A21" s="619"/>
      <c r="B21" s="589"/>
      <c r="C21" s="627"/>
      <c r="D21" s="628"/>
      <c r="E21" s="629"/>
      <c r="F21" s="658"/>
      <c r="G21" s="658"/>
      <c r="H21" s="788"/>
      <c r="I21" s="787"/>
      <c r="J21" s="658"/>
      <c r="K21" s="658"/>
      <c r="L21" s="788"/>
      <c r="M21" s="787"/>
      <c r="N21" s="658"/>
      <c r="O21" s="658"/>
      <c r="P21" s="788"/>
      <c r="Q21" s="787"/>
      <c r="R21" s="788"/>
      <c r="S21" s="788"/>
      <c r="T21" s="788"/>
      <c r="U21" s="787"/>
      <c r="V21" s="788"/>
      <c r="W21" s="788"/>
      <c r="X21" s="788"/>
      <c r="Y21" s="787"/>
      <c r="Z21" s="788"/>
      <c r="AA21" s="788"/>
      <c r="AB21" s="788"/>
      <c r="AC21" s="787"/>
      <c r="AD21" s="788"/>
      <c r="AE21" s="788"/>
      <c r="AF21" s="788"/>
      <c r="AG21" s="787"/>
      <c r="AH21" s="788"/>
      <c r="AI21" s="788"/>
      <c r="AJ21" s="788"/>
      <c r="AK21" s="787"/>
      <c r="AL21" s="784"/>
      <c r="AM21" s="784"/>
      <c r="AN21" s="784"/>
      <c r="AO21" s="793"/>
      <c r="AP21" s="792"/>
      <c r="AQ21" s="793"/>
      <c r="AR21" s="793"/>
      <c r="AS21" s="793"/>
      <c r="AT21" s="804"/>
      <c r="AU21" s="778"/>
      <c r="AV21" s="788"/>
      <c r="AW21" s="784"/>
      <c r="AX21" s="628" t="e">
        <f t="shared" si="1"/>
        <v>#DIV/0!</v>
      </c>
      <c r="AY21" s="795"/>
      <c r="AZ21" s="473">
        <f t="shared" si="3"/>
        <v>0</v>
      </c>
      <c r="BA21" s="473">
        <f t="shared" si="4"/>
        <v>0</v>
      </c>
      <c r="BB21" s="473"/>
      <c r="BC21" s="473"/>
      <c r="BD21" s="473"/>
      <c r="BE21" s="473"/>
      <c r="BF21" s="796"/>
      <c r="BG21" s="647"/>
      <c r="BH21" s="647"/>
      <c r="BI21" s="647"/>
      <c r="BJ21" s="647"/>
      <c r="BK21" s="647"/>
      <c r="BL21" s="580"/>
      <c r="BN21" s="580"/>
      <c r="BO21" s="580"/>
      <c r="BP21" s="580"/>
      <c r="BQ21" s="580"/>
    </row>
    <row r="22" spans="1:69" ht="12.75" customHeight="1" x14ac:dyDescent="0.2">
      <c r="A22" s="619"/>
      <c r="B22" s="621" t="s">
        <v>92</v>
      </c>
      <c r="C22" s="627">
        <f t="shared" ref="C22:C31" si="5">I22-M22</f>
        <v>-154</v>
      </c>
      <c r="D22" s="661">
        <f t="shared" ref="D22:D28" si="6">IF(OR((C22/M22)&gt;3,(C22/M22)&lt;-3),"n.m.",(C22/M22))</f>
        <v>-1.5028788913828438E-2</v>
      </c>
      <c r="E22" s="629"/>
      <c r="F22" s="633"/>
      <c r="G22" s="633"/>
      <c r="H22" s="778"/>
      <c r="I22" s="787">
        <f>+'4 Capital Markets Canada'!M21+'5 CG - US'!M21</f>
        <v>10093</v>
      </c>
      <c r="J22" s="633">
        <f>+'4 Capital Markets Canada'!N21+'5 CG - US'!N21</f>
        <v>11338</v>
      </c>
      <c r="K22" s="633">
        <f>+'4 Capital Markets Canada'!O21+'5 CG - US'!O21</f>
        <v>11534</v>
      </c>
      <c r="L22" s="778">
        <f>+'4 Capital Markets Canada'!P21+'5 CG - US'!P21</f>
        <v>9999</v>
      </c>
      <c r="M22" s="787">
        <f>+'4 Capital Markets Canada'!Q21+'5 CG - US'!Q21</f>
        <v>10247</v>
      </c>
      <c r="N22" s="633">
        <f>+'4 Capital Markets Canada'!R21+'5 CG - US'!R21</f>
        <v>11348</v>
      </c>
      <c r="O22" s="633">
        <f>+'4 Capital Markets Canada'!S21+'5 CG - US'!S21</f>
        <v>9005</v>
      </c>
      <c r="P22" s="778">
        <f>+'4 Capital Markets Canada'!T21+'5 CG - US'!T21</f>
        <v>7948</v>
      </c>
      <c r="Q22" s="787">
        <f>+'4 Capital Markets Canada'!U21+'5 CG - US'!U21</f>
        <v>9337</v>
      </c>
      <c r="R22" s="778">
        <f>+'4 Capital Markets Canada'!V21+'5 CG - US'!V21</f>
        <v>6766</v>
      </c>
      <c r="S22" s="778">
        <f>+'4 Capital Markets Canada'!W21+'5 CG - US'!W21</f>
        <v>6445</v>
      </c>
      <c r="T22" s="778">
        <v>2309</v>
      </c>
      <c r="U22" s="787">
        <v>2984</v>
      </c>
      <c r="V22" s="778">
        <v>2748</v>
      </c>
      <c r="W22" s="778">
        <v>3263</v>
      </c>
      <c r="X22" s="778">
        <v>3155</v>
      </c>
      <c r="Y22" s="787">
        <f>+'3 Canaccord Genuity '!AC25-'6 CG - UK'!AC20-'5 CG - US'!AC21-'7 CG Other Foreign Loc'!AC23</f>
        <v>4193</v>
      </c>
      <c r="Z22" s="778">
        <v>2526</v>
      </c>
      <c r="AA22" s="778">
        <v>2575</v>
      </c>
      <c r="AB22" s="778">
        <v>2211</v>
      </c>
      <c r="AC22" s="787">
        <v>1863</v>
      </c>
      <c r="AD22" s="778">
        <v>1434</v>
      </c>
      <c r="AE22" s="778">
        <v>1589</v>
      </c>
      <c r="AF22" s="778">
        <v>1151</v>
      </c>
      <c r="AG22" s="787">
        <v>943</v>
      </c>
      <c r="AH22" s="778">
        <v>993</v>
      </c>
      <c r="AI22" s="778">
        <v>971</v>
      </c>
      <c r="AJ22" s="778">
        <v>891</v>
      </c>
      <c r="AK22" s="787">
        <v>781</v>
      </c>
      <c r="AL22" s="788">
        <v>689</v>
      </c>
      <c r="AM22" s="788">
        <v>4655</v>
      </c>
      <c r="AN22" s="788">
        <v>4906</v>
      </c>
      <c r="AO22" s="788">
        <v>4441</v>
      </c>
      <c r="AP22" s="789">
        <v>4178</v>
      </c>
      <c r="AQ22" s="787">
        <v>3700</v>
      </c>
      <c r="AR22" s="787">
        <v>3796</v>
      </c>
      <c r="AS22" s="787">
        <v>5308</v>
      </c>
      <c r="AT22" s="805"/>
      <c r="AU22" s="778">
        <f t="shared" ref="AU22:AU30" si="7">SUM(K22:M22)</f>
        <v>31780</v>
      </c>
      <c r="AV22" s="778">
        <f t="shared" ref="AV22:AV30" si="8">SUM(O22:Q22)</f>
        <v>26290</v>
      </c>
      <c r="AW22" s="790">
        <f t="shared" ref="AW22:AW31" si="9">AZ22-BA22</f>
        <v>5480</v>
      </c>
      <c r="AX22" s="628">
        <f t="shared" si="1"/>
        <v>0.14559753440671661</v>
      </c>
      <c r="AY22" s="791"/>
      <c r="AZ22" s="511">
        <f t="shared" si="3"/>
        <v>43118</v>
      </c>
      <c r="BA22" s="511">
        <f>+SUM(N22:Q22)</f>
        <v>37638</v>
      </c>
      <c r="BB22" s="511">
        <f>+'4 Capital Markets Canada'!BG21+'5 CG - US'!BG21</f>
        <v>28640</v>
      </c>
      <c r="BC22" s="511">
        <f>+'4 Capital Markets Canada'!BH21+'5 CG - US'!BH21</f>
        <v>17643</v>
      </c>
      <c r="BD22" s="511">
        <f>+'4 Capital Markets Canada'!BI21+'5 CG - US'!BI21</f>
        <v>17925</v>
      </c>
      <c r="BE22" s="511">
        <v>9367</v>
      </c>
      <c r="BF22" s="792">
        <v>7303</v>
      </c>
      <c r="BG22" s="637">
        <v>3032</v>
      </c>
      <c r="BH22" s="637">
        <v>2191</v>
      </c>
      <c r="BI22" s="647">
        <v>2896</v>
      </c>
      <c r="BJ22" s="647">
        <v>1887</v>
      </c>
      <c r="BK22" s="647">
        <v>3440</v>
      </c>
      <c r="BL22" s="580"/>
      <c r="BN22" s="580"/>
      <c r="BO22" s="580"/>
      <c r="BP22" s="580"/>
      <c r="BQ22" s="580"/>
    </row>
    <row r="23" spans="1:69" ht="12.75" customHeight="1" x14ac:dyDescent="0.2">
      <c r="A23" s="619"/>
      <c r="B23" s="621" t="s">
        <v>68</v>
      </c>
      <c r="C23" s="627">
        <f t="shared" si="5"/>
        <v>447</v>
      </c>
      <c r="D23" s="661">
        <f t="shared" si="6"/>
        <v>0.13335322195704058</v>
      </c>
      <c r="E23" s="629"/>
      <c r="F23" s="633"/>
      <c r="G23" s="633"/>
      <c r="H23" s="778"/>
      <c r="I23" s="787">
        <f>+'4 Capital Markets Canada'!M22+'5 CG - US'!M22</f>
        <v>3799</v>
      </c>
      <c r="J23" s="633">
        <f>+'4 Capital Markets Canada'!N22+'5 CG - US'!N22</f>
        <v>3591</v>
      </c>
      <c r="K23" s="633">
        <f>+'4 Capital Markets Canada'!O22+'5 CG - US'!O22</f>
        <v>3512</v>
      </c>
      <c r="L23" s="778">
        <f>+'4 Capital Markets Canada'!P22+'5 CG - US'!P22</f>
        <v>3327</v>
      </c>
      <c r="M23" s="787">
        <f>+'4 Capital Markets Canada'!Q22+'5 CG - US'!Q22</f>
        <v>3352</v>
      </c>
      <c r="N23" s="633">
        <f>+'4 Capital Markets Canada'!R22+'5 CG - US'!R22</f>
        <v>3335</v>
      </c>
      <c r="O23" s="633">
        <f>+'4 Capital Markets Canada'!S22+'5 CG - US'!S22</f>
        <v>3141</v>
      </c>
      <c r="P23" s="778">
        <f>+'4 Capital Markets Canada'!T22+'5 CG - US'!T22</f>
        <v>3192</v>
      </c>
      <c r="Q23" s="787">
        <f>+'4 Capital Markets Canada'!U22+'5 CG - US'!U22</f>
        <v>3047</v>
      </c>
      <c r="R23" s="778">
        <f>+'4 Capital Markets Canada'!V22+'5 CG - US'!V22</f>
        <v>3067</v>
      </c>
      <c r="S23" s="778">
        <f>+'4 Capital Markets Canada'!W22+'5 CG - US'!W22</f>
        <v>3044</v>
      </c>
      <c r="T23" s="778">
        <v>1196</v>
      </c>
      <c r="U23" s="787">
        <v>1263</v>
      </c>
      <c r="V23" s="778">
        <v>1300</v>
      </c>
      <c r="W23" s="778">
        <v>1228</v>
      </c>
      <c r="X23" s="778">
        <v>1661</v>
      </c>
      <c r="Y23" s="787">
        <f>+'3 Canaccord Genuity '!AC26-'6 CG - UK'!AC21-'5 CG - US'!AC22-'7 CG Other Foreign Loc'!AC24</f>
        <v>852</v>
      </c>
      <c r="Z23" s="778">
        <v>1191</v>
      </c>
      <c r="AA23" s="778">
        <v>1338</v>
      </c>
      <c r="AB23" s="778">
        <v>855</v>
      </c>
      <c r="AC23" s="787">
        <v>549</v>
      </c>
      <c r="AD23" s="778">
        <v>661</v>
      </c>
      <c r="AE23" s="778">
        <v>671</v>
      </c>
      <c r="AF23" s="778">
        <v>645</v>
      </c>
      <c r="AG23" s="787">
        <v>595</v>
      </c>
      <c r="AH23" s="778">
        <v>667</v>
      </c>
      <c r="AI23" s="778">
        <v>676</v>
      </c>
      <c r="AJ23" s="778">
        <v>693</v>
      </c>
      <c r="AK23" s="787">
        <v>690</v>
      </c>
      <c r="AL23" s="788">
        <v>706</v>
      </c>
      <c r="AM23" s="788">
        <v>3011</v>
      </c>
      <c r="AN23" s="788">
        <v>2910</v>
      </c>
      <c r="AO23" s="788">
        <v>2613</v>
      </c>
      <c r="AP23" s="789">
        <v>5054</v>
      </c>
      <c r="AQ23" s="787">
        <v>3183</v>
      </c>
      <c r="AR23" s="787">
        <v>2884</v>
      </c>
      <c r="AS23" s="787">
        <v>3008</v>
      </c>
      <c r="AT23" s="805"/>
      <c r="AU23" s="778">
        <f t="shared" si="7"/>
        <v>10191</v>
      </c>
      <c r="AV23" s="778">
        <f t="shared" si="8"/>
        <v>9380</v>
      </c>
      <c r="AW23" s="790">
        <f t="shared" si="9"/>
        <v>1067</v>
      </c>
      <c r="AX23" s="628">
        <f t="shared" si="1"/>
        <v>8.3916633896972084E-2</v>
      </c>
      <c r="AY23" s="791"/>
      <c r="AZ23" s="511">
        <f t="shared" si="3"/>
        <v>13782</v>
      </c>
      <c r="BA23" s="511">
        <f>+SUM(N23:Q23)</f>
        <v>12715</v>
      </c>
      <c r="BB23" s="511">
        <f>+'4 Capital Markets Canada'!BG22+'5 CG - US'!BG22</f>
        <v>13218</v>
      </c>
      <c r="BC23" s="511">
        <f>+'4 Capital Markets Canada'!BH22+'5 CG - US'!BH22</f>
        <v>10072</v>
      </c>
      <c r="BD23" s="511">
        <f>+'4 Capital Markets Canada'!BI22+'5 CG - US'!BI22</f>
        <v>8770</v>
      </c>
      <c r="BE23" s="511">
        <v>3014</v>
      </c>
      <c r="BF23" s="792">
        <v>3158</v>
      </c>
      <c r="BG23" s="637">
        <v>2856</v>
      </c>
      <c r="BH23" s="637">
        <v>3000</v>
      </c>
      <c r="BI23" s="647">
        <v>2293</v>
      </c>
      <c r="BJ23" s="647">
        <v>1365</v>
      </c>
      <c r="BK23" s="647">
        <v>4236</v>
      </c>
      <c r="BL23" s="580"/>
      <c r="BN23" s="580"/>
      <c r="BO23" s="580"/>
      <c r="BP23" s="580"/>
      <c r="BQ23" s="580"/>
    </row>
    <row r="24" spans="1:69" ht="12.75" customHeight="1" x14ac:dyDescent="0.2">
      <c r="A24" s="619"/>
      <c r="B24" s="621" t="s">
        <v>69</v>
      </c>
      <c r="C24" s="627">
        <f t="shared" si="5"/>
        <v>689</v>
      </c>
      <c r="D24" s="661">
        <f t="shared" si="6"/>
        <v>0.15037101702313399</v>
      </c>
      <c r="E24" s="629"/>
      <c r="F24" s="633"/>
      <c r="G24" s="633"/>
      <c r="H24" s="778"/>
      <c r="I24" s="787">
        <f>+'4 Capital Markets Canada'!M23+'5 CG - US'!M23</f>
        <v>5271</v>
      </c>
      <c r="J24" s="633">
        <f>+'4 Capital Markets Canada'!N23+'5 CG - US'!N23</f>
        <v>5738</v>
      </c>
      <c r="K24" s="633">
        <f>+'4 Capital Markets Canada'!O23+'5 CG - US'!O23</f>
        <v>4721</v>
      </c>
      <c r="L24" s="778">
        <f>+'4 Capital Markets Canada'!P23+'5 CG - US'!P23</f>
        <v>5274</v>
      </c>
      <c r="M24" s="787">
        <f>+'4 Capital Markets Canada'!Q23+'5 CG - US'!Q23</f>
        <v>4582</v>
      </c>
      <c r="N24" s="633">
        <f>+'4 Capital Markets Canada'!R23+'5 CG - US'!R23</f>
        <v>4457</v>
      </c>
      <c r="O24" s="633">
        <f>+'4 Capital Markets Canada'!S23+'5 CG - US'!S23</f>
        <v>4850</v>
      </c>
      <c r="P24" s="778">
        <f>+'4 Capital Markets Canada'!T23+'5 CG - US'!T23</f>
        <v>4331</v>
      </c>
      <c r="Q24" s="787">
        <f>+'4 Capital Markets Canada'!U23+'5 CG - US'!U23</f>
        <v>4098</v>
      </c>
      <c r="R24" s="778">
        <f>+'4 Capital Markets Canada'!V23+'5 CG - US'!V23</f>
        <v>4080</v>
      </c>
      <c r="S24" s="778">
        <f>+'4 Capital Markets Canada'!W23+'5 CG - US'!W23</f>
        <v>4873</v>
      </c>
      <c r="T24" s="778">
        <v>1305</v>
      </c>
      <c r="U24" s="787">
        <v>1477</v>
      </c>
      <c r="V24" s="778">
        <v>2254</v>
      </c>
      <c r="W24" s="778">
        <v>1309</v>
      </c>
      <c r="X24" s="778">
        <v>1341</v>
      </c>
      <c r="Y24" s="787">
        <f>+'3 Canaccord Genuity '!AC27-'6 CG - UK'!AC22-'5 CG - US'!AC23-'7 CG Other Foreign Loc'!AC25</f>
        <v>1329</v>
      </c>
      <c r="Z24" s="778">
        <v>977</v>
      </c>
      <c r="AA24" s="778">
        <v>993</v>
      </c>
      <c r="AB24" s="778">
        <v>1107</v>
      </c>
      <c r="AC24" s="787">
        <v>1004</v>
      </c>
      <c r="AD24" s="778">
        <v>587</v>
      </c>
      <c r="AE24" s="778">
        <v>610</v>
      </c>
      <c r="AF24" s="778">
        <v>573</v>
      </c>
      <c r="AG24" s="787">
        <v>706</v>
      </c>
      <c r="AH24" s="778">
        <v>894</v>
      </c>
      <c r="AI24" s="778">
        <v>1012</v>
      </c>
      <c r="AJ24" s="778">
        <v>1350</v>
      </c>
      <c r="AK24" s="787">
        <v>1224</v>
      </c>
      <c r="AL24" s="788">
        <v>1201</v>
      </c>
      <c r="AM24" s="788">
        <v>3063</v>
      </c>
      <c r="AN24" s="788">
        <v>2962</v>
      </c>
      <c r="AO24" s="788">
        <v>2879</v>
      </c>
      <c r="AP24" s="789">
        <v>2804</v>
      </c>
      <c r="AQ24" s="787">
        <v>2586</v>
      </c>
      <c r="AR24" s="787">
        <v>2530</v>
      </c>
      <c r="AS24" s="787">
        <v>2427</v>
      </c>
      <c r="AT24" s="805"/>
      <c r="AU24" s="778">
        <f t="shared" si="7"/>
        <v>14577</v>
      </c>
      <c r="AV24" s="778">
        <f t="shared" si="8"/>
        <v>13279</v>
      </c>
      <c r="AW24" s="790">
        <f t="shared" si="9"/>
        <v>2579</v>
      </c>
      <c r="AX24" s="628">
        <f t="shared" si="1"/>
        <v>0.14541046459179072</v>
      </c>
      <c r="AY24" s="791"/>
      <c r="AZ24" s="511">
        <f t="shared" si="3"/>
        <v>20315</v>
      </c>
      <c r="BA24" s="511">
        <f t="shared" si="4"/>
        <v>17736</v>
      </c>
      <c r="BB24" s="511">
        <f>+'4 Capital Markets Canada'!BG23+'5 CG - US'!BG23</f>
        <v>18225</v>
      </c>
      <c r="BC24" s="511">
        <f>+'4 Capital Markets Canada'!BH23+'5 CG - US'!BH23</f>
        <v>11802</v>
      </c>
      <c r="BD24" s="511">
        <f>+'4 Capital Markets Canada'!BI23+'5 CG - US'!BI23</f>
        <v>10814</v>
      </c>
      <c r="BE24" s="511">
        <v>3731</v>
      </c>
      <c r="BF24" s="792">
        <v>6466</v>
      </c>
      <c r="BG24" s="637">
        <v>4740</v>
      </c>
      <c r="BH24" s="637">
        <v>3930</v>
      </c>
      <c r="BI24" s="647">
        <v>2980</v>
      </c>
      <c r="BJ24" s="647">
        <v>2274</v>
      </c>
      <c r="BK24" s="647">
        <v>4205</v>
      </c>
      <c r="BL24" s="580"/>
      <c r="BN24" s="580"/>
      <c r="BO24" s="580"/>
      <c r="BP24" s="580"/>
      <c r="BQ24" s="580"/>
    </row>
    <row r="25" spans="1:69" ht="12.75" customHeight="1" x14ac:dyDescent="0.2">
      <c r="A25" s="619"/>
      <c r="B25" s="621" t="s">
        <v>64</v>
      </c>
      <c r="C25" s="627">
        <f t="shared" si="5"/>
        <v>-931</v>
      </c>
      <c r="D25" s="628">
        <f t="shared" si="6"/>
        <v>-0.28814608480346643</v>
      </c>
      <c r="E25" s="629"/>
      <c r="F25" s="633"/>
      <c r="G25" s="633"/>
      <c r="H25" s="778"/>
      <c r="I25" s="787">
        <f>+'4 Capital Markets Canada'!M24+'5 CG - US'!M24</f>
        <v>2300</v>
      </c>
      <c r="J25" s="633">
        <f>+'4 Capital Markets Canada'!N24+'5 CG - US'!N24</f>
        <v>2004</v>
      </c>
      <c r="K25" s="633">
        <f>+'4 Capital Markets Canada'!O24+'5 CG - US'!O24</f>
        <v>2236</v>
      </c>
      <c r="L25" s="778">
        <f>+'4 Capital Markets Canada'!P24+'5 CG - US'!P24</f>
        <v>2053</v>
      </c>
      <c r="M25" s="787">
        <f>+'4 Capital Markets Canada'!Q24+'5 CG - US'!Q24</f>
        <v>3231</v>
      </c>
      <c r="N25" s="633">
        <f>+'4 Capital Markets Canada'!R24+'5 CG - US'!R24</f>
        <v>2707</v>
      </c>
      <c r="O25" s="633">
        <f>+'4 Capital Markets Canada'!S24+'5 CG - US'!S24</f>
        <v>2643</v>
      </c>
      <c r="P25" s="778">
        <f>+'4 Capital Markets Canada'!T24+'5 CG - US'!T24</f>
        <v>2859</v>
      </c>
      <c r="Q25" s="787">
        <f>+'4 Capital Markets Canada'!U24+'5 CG - US'!U24</f>
        <v>3194</v>
      </c>
      <c r="R25" s="778">
        <f>+'4 Capital Markets Canada'!V24+'5 CG - US'!V24</f>
        <v>2069</v>
      </c>
      <c r="S25" s="778">
        <f>+'4 Capital Markets Canada'!W24+'5 CG - US'!W24</f>
        <v>2724</v>
      </c>
      <c r="T25" s="778">
        <v>1441</v>
      </c>
      <c r="U25" s="787">
        <v>2552</v>
      </c>
      <c r="V25" s="778">
        <v>2405</v>
      </c>
      <c r="W25" s="778">
        <v>1861</v>
      </c>
      <c r="X25" s="778">
        <v>1440</v>
      </c>
      <c r="Y25" s="787">
        <f>+'3 Canaccord Genuity '!AC28-'6 CG - UK'!AC23-'5 CG - US'!AC24-'7 CG Other Foreign Loc'!AC26</f>
        <v>1878</v>
      </c>
      <c r="Z25" s="778">
        <v>8</v>
      </c>
      <c r="AA25" s="778">
        <v>3</v>
      </c>
      <c r="AB25" s="778">
        <v>3</v>
      </c>
      <c r="AC25" s="787">
        <v>33</v>
      </c>
      <c r="AD25" s="778">
        <v>3</v>
      </c>
      <c r="AE25" s="778">
        <v>2</v>
      </c>
      <c r="AF25" s="778">
        <v>2</v>
      </c>
      <c r="AG25" s="787">
        <v>5</v>
      </c>
      <c r="AH25" s="778">
        <v>21</v>
      </c>
      <c r="AI25" s="778">
        <v>72</v>
      </c>
      <c r="AJ25" s="778">
        <v>94</v>
      </c>
      <c r="AK25" s="787">
        <v>126</v>
      </c>
      <c r="AL25" s="788">
        <v>153</v>
      </c>
      <c r="AM25" s="788">
        <v>738</v>
      </c>
      <c r="AN25" s="788">
        <v>353</v>
      </c>
      <c r="AO25" s="788">
        <v>594</v>
      </c>
      <c r="AP25" s="789">
        <v>617</v>
      </c>
      <c r="AQ25" s="787">
        <v>520</v>
      </c>
      <c r="AR25" s="787">
        <v>889</v>
      </c>
      <c r="AS25" s="787">
        <v>691</v>
      </c>
      <c r="AT25" s="805"/>
      <c r="AU25" s="778">
        <f t="shared" si="7"/>
        <v>7520</v>
      </c>
      <c r="AV25" s="778">
        <f t="shared" si="8"/>
        <v>8696</v>
      </c>
      <c r="AW25" s="790">
        <f t="shared" si="9"/>
        <v>-1879</v>
      </c>
      <c r="AX25" s="628">
        <f t="shared" si="1"/>
        <v>-0.16478119793036919</v>
      </c>
      <c r="AY25" s="791"/>
      <c r="AZ25" s="511">
        <f t="shared" si="3"/>
        <v>9524</v>
      </c>
      <c r="BA25" s="511">
        <f t="shared" si="4"/>
        <v>11403</v>
      </c>
      <c r="BB25" s="511">
        <f>+'4 Capital Markets Canada'!BG24+'5 CG - US'!BG24</f>
        <v>9850</v>
      </c>
      <c r="BC25" s="511">
        <f>+'4 Capital Markets Canada'!BH24+'5 CG - US'!BH24</f>
        <v>7807</v>
      </c>
      <c r="BD25" s="511">
        <f>+'4 Capital Markets Canada'!BI24+'5 CG - US'!BI24</f>
        <v>5865</v>
      </c>
      <c r="BE25" s="511">
        <v>435</v>
      </c>
      <c r="BF25" s="792">
        <v>949</v>
      </c>
      <c r="BG25" s="637">
        <v>602</v>
      </c>
      <c r="BH25" s="637">
        <v>551</v>
      </c>
      <c r="BI25" s="647">
        <v>175</v>
      </c>
      <c r="BJ25" s="647">
        <v>114</v>
      </c>
      <c r="BK25" s="647">
        <v>35</v>
      </c>
      <c r="BL25" s="580"/>
      <c r="BN25" s="580"/>
      <c r="BO25" s="580"/>
      <c r="BP25" s="580"/>
      <c r="BQ25" s="580"/>
    </row>
    <row r="26" spans="1:69" ht="12.75" customHeight="1" x14ac:dyDescent="0.2">
      <c r="A26" s="619"/>
      <c r="B26" s="621" t="s">
        <v>70</v>
      </c>
      <c r="C26" s="627">
        <f t="shared" si="5"/>
        <v>-687</v>
      </c>
      <c r="D26" s="661">
        <f t="shared" si="6"/>
        <v>-8.167875401260255E-2</v>
      </c>
      <c r="E26" s="629"/>
      <c r="F26" s="633"/>
      <c r="G26" s="633"/>
      <c r="H26" s="778"/>
      <c r="I26" s="787">
        <f>+'4 Capital Markets Canada'!M25+'5 CG - US'!M25</f>
        <v>7724</v>
      </c>
      <c r="J26" s="633">
        <f>+'4 Capital Markets Canada'!N25+'5 CG - US'!N25</f>
        <v>6128</v>
      </c>
      <c r="K26" s="633">
        <f>+'4 Capital Markets Canada'!O25+'5 CG - US'!O25</f>
        <v>9953</v>
      </c>
      <c r="L26" s="778">
        <f>+'4 Capital Markets Canada'!P25+'5 CG - US'!P25</f>
        <v>7517</v>
      </c>
      <c r="M26" s="787">
        <f>+'4 Capital Markets Canada'!Q25+'5 CG - US'!Q25</f>
        <v>8411</v>
      </c>
      <c r="N26" s="633">
        <f>+'4 Capital Markets Canada'!R25+'5 CG - US'!R25</f>
        <v>6545</v>
      </c>
      <c r="O26" s="633">
        <f>+'4 Capital Markets Canada'!S25+'5 CG - US'!S25</f>
        <v>6107</v>
      </c>
      <c r="P26" s="778">
        <f>+'4 Capital Markets Canada'!T25+'5 CG - US'!T25</f>
        <v>5592</v>
      </c>
      <c r="Q26" s="787">
        <f>+'4 Capital Markets Canada'!U25+'5 CG - US'!U25</f>
        <v>6215</v>
      </c>
      <c r="R26" s="778">
        <f>+'4 Capital Markets Canada'!V25+'5 CG - US'!V25</f>
        <v>5756</v>
      </c>
      <c r="S26" s="778">
        <f>+'4 Capital Markets Canada'!W25+'5 CG - US'!W25</f>
        <v>7235</v>
      </c>
      <c r="T26" s="778">
        <v>4496</v>
      </c>
      <c r="U26" s="787">
        <v>3008</v>
      </c>
      <c r="V26" s="778">
        <v>3819</v>
      </c>
      <c r="W26" s="778">
        <v>2995</v>
      </c>
      <c r="X26" s="778">
        <v>5330</v>
      </c>
      <c r="Y26" s="787">
        <f>+'3 Canaccord Genuity '!AC29-'6 CG - UK'!AC24-'5 CG - US'!AC25-'7 CG Other Foreign Loc'!AC27</f>
        <v>3753</v>
      </c>
      <c r="Z26" s="778">
        <v>3862</v>
      </c>
      <c r="AA26" s="778">
        <v>4390</v>
      </c>
      <c r="AB26" s="778">
        <v>3806</v>
      </c>
      <c r="AC26" s="787">
        <v>3275</v>
      </c>
      <c r="AD26" s="778">
        <v>1553</v>
      </c>
      <c r="AE26" s="778">
        <v>1777</v>
      </c>
      <c r="AF26" s="778">
        <v>1251</v>
      </c>
      <c r="AG26" s="787">
        <v>1408</v>
      </c>
      <c r="AH26" s="778">
        <v>-532</v>
      </c>
      <c r="AI26" s="778">
        <v>1655</v>
      </c>
      <c r="AJ26" s="778">
        <v>2880</v>
      </c>
      <c r="AK26" s="787">
        <v>4020</v>
      </c>
      <c r="AL26" s="788">
        <v>3405</v>
      </c>
      <c r="AM26" s="788">
        <v>8753</v>
      </c>
      <c r="AN26" s="788">
        <v>9885</v>
      </c>
      <c r="AO26" s="788">
        <v>10397</v>
      </c>
      <c r="AP26" s="789">
        <v>10292</v>
      </c>
      <c r="AQ26" s="787">
        <v>7376</v>
      </c>
      <c r="AR26" s="787">
        <v>8470</v>
      </c>
      <c r="AS26" s="787">
        <v>8715</v>
      </c>
      <c r="AT26" s="805"/>
      <c r="AU26" s="778">
        <f t="shared" si="7"/>
        <v>25881</v>
      </c>
      <c r="AV26" s="778">
        <f t="shared" si="8"/>
        <v>17914</v>
      </c>
      <c r="AW26" s="790">
        <f t="shared" si="9"/>
        <v>7550</v>
      </c>
      <c r="AX26" s="628">
        <f t="shared" si="1"/>
        <v>0.30867983155484691</v>
      </c>
      <c r="AY26" s="791"/>
      <c r="AZ26" s="511">
        <f t="shared" si="3"/>
        <v>32009</v>
      </c>
      <c r="BA26" s="511">
        <f t="shared" si="4"/>
        <v>24459</v>
      </c>
      <c r="BB26" s="511">
        <f>+'4 Capital Markets Canada'!BG25+'5 CG - US'!BG25</f>
        <v>29280</v>
      </c>
      <c r="BC26" s="511">
        <f>+'4 Capital Markets Canada'!BH25+'5 CG - US'!BH25</f>
        <v>28698</v>
      </c>
      <c r="BD26" s="511">
        <f>+'4 Capital Markets Canada'!BI25+'5 CG - US'!BI25</f>
        <v>27405</v>
      </c>
      <c r="BE26" s="511">
        <v>6369</v>
      </c>
      <c r="BF26" s="792">
        <v>9497</v>
      </c>
      <c r="BG26" s="637">
        <v>14790</v>
      </c>
      <c r="BH26" s="637">
        <v>12437</v>
      </c>
      <c r="BI26" s="647">
        <v>11037</v>
      </c>
      <c r="BJ26" s="647">
        <v>6277</v>
      </c>
      <c r="BK26" s="647">
        <v>7632</v>
      </c>
      <c r="BL26" s="580"/>
      <c r="BN26" s="580"/>
      <c r="BO26" s="580"/>
      <c r="BP26" s="580"/>
      <c r="BQ26" s="580"/>
    </row>
    <row r="27" spans="1:69" ht="12.75" customHeight="1" x14ac:dyDescent="0.2">
      <c r="A27" s="619"/>
      <c r="B27" s="621" t="s">
        <v>71</v>
      </c>
      <c r="C27" s="627">
        <f t="shared" si="5"/>
        <v>-354</v>
      </c>
      <c r="D27" s="661">
        <f t="shared" si="6"/>
        <v>-0.21454545454545454</v>
      </c>
      <c r="E27" s="857"/>
      <c r="F27" s="633"/>
      <c r="G27" s="183"/>
      <c r="H27" s="778"/>
      <c r="I27" s="787">
        <f>+'4 Capital Markets Canada'!M26+'5 CG - US'!M26</f>
        <v>1296</v>
      </c>
      <c r="J27" s="633">
        <f>+'4 Capital Markets Canada'!N26+'5 CG - US'!N26</f>
        <v>1708</v>
      </c>
      <c r="K27" s="183">
        <f>+'4 Capital Markets Canada'!O26+'5 CG - US'!O26</f>
        <v>1665</v>
      </c>
      <c r="L27" s="778">
        <f>+'4 Capital Markets Canada'!P26+'5 CG - US'!P26</f>
        <v>1662</v>
      </c>
      <c r="M27" s="787">
        <f>+'4 Capital Markets Canada'!Q26+'5 CG - US'!Q26</f>
        <v>1650</v>
      </c>
      <c r="N27" s="633">
        <f>+'4 Capital Markets Canada'!R26+'5 CG - US'!R26</f>
        <v>1631</v>
      </c>
      <c r="O27" s="183">
        <f>+'4 Capital Markets Canada'!S26+'5 CG - US'!S26</f>
        <v>1635</v>
      </c>
      <c r="P27" s="778">
        <f>+'4 Capital Markets Canada'!T26+'5 CG - US'!T26</f>
        <v>1601</v>
      </c>
      <c r="Q27" s="787">
        <f>+'4 Capital Markets Canada'!U26+'5 CG - US'!U26</f>
        <v>1584</v>
      </c>
      <c r="R27" s="778">
        <f>+'4 Capital Markets Canada'!V26+'5 CG - US'!V26</f>
        <v>1686</v>
      </c>
      <c r="S27" s="778">
        <f>+'4 Capital Markets Canada'!W26+'5 CG - US'!W26</f>
        <v>1616</v>
      </c>
      <c r="T27" s="778">
        <v>1401</v>
      </c>
      <c r="U27" s="787">
        <v>1400</v>
      </c>
      <c r="V27" s="778">
        <v>1522</v>
      </c>
      <c r="W27" s="778">
        <v>1400</v>
      </c>
      <c r="X27" s="778">
        <v>1417</v>
      </c>
      <c r="Y27" s="787">
        <f>+'3 Canaccord Genuity '!AC30-'6 CG - UK'!AC25-'5 CG - US'!AC26-'7 CG Other Foreign Loc'!AC28</f>
        <v>1219</v>
      </c>
      <c r="Z27" s="778">
        <v>1199</v>
      </c>
      <c r="AA27" s="778">
        <v>1232</v>
      </c>
      <c r="AB27" s="778">
        <v>2158</v>
      </c>
      <c r="AC27" s="787">
        <v>1735</v>
      </c>
      <c r="AD27" s="778">
        <v>186</v>
      </c>
      <c r="AE27" s="778">
        <v>183</v>
      </c>
      <c r="AF27" s="778">
        <v>182</v>
      </c>
      <c r="AG27" s="787">
        <v>189</v>
      </c>
      <c r="AH27" s="778">
        <v>228</v>
      </c>
      <c r="AI27" s="778">
        <v>732</v>
      </c>
      <c r="AJ27" s="778">
        <v>193</v>
      </c>
      <c r="AK27" s="787">
        <v>191</v>
      </c>
      <c r="AL27" s="788">
        <v>220</v>
      </c>
      <c r="AM27" s="788">
        <v>984</v>
      </c>
      <c r="AN27" s="788">
        <v>985</v>
      </c>
      <c r="AO27" s="788">
        <v>911</v>
      </c>
      <c r="AP27" s="789">
        <v>895</v>
      </c>
      <c r="AQ27" s="787">
        <v>785</v>
      </c>
      <c r="AR27" s="787">
        <v>1291</v>
      </c>
      <c r="AS27" s="787">
        <v>950</v>
      </c>
      <c r="AT27" s="805"/>
      <c r="AU27" s="778">
        <f t="shared" si="7"/>
        <v>4977</v>
      </c>
      <c r="AV27" s="778">
        <f t="shared" si="8"/>
        <v>4820</v>
      </c>
      <c r="AW27" s="790">
        <f t="shared" si="9"/>
        <v>234</v>
      </c>
      <c r="AX27" s="628">
        <f t="shared" si="1"/>
        <v>3.6273445977367848E-2</v>
      </c>
      <c r="AY27" s="791"/>
      <c r="AZ27" s="511">
        <f t="shared" si="3"/>
        <v>6685</v>
      </c>
      <c r="BA27" s="511">
        <f t="shared" si="4"/>
        <v>6451</v>
      </c>
      <c r="BB27" s="511">
        <f>+'4 Capital Markets Canada'!BG26+'5 CG - US'!BG26</f>
        <v>6951</v>
      </c>
      <c r="BC27" s="511">
        <f>+'4 Capital Markets Canada'!BH26+'5 CG - US'!BH26</f>
        <v>6986</v>
      </c>
      <c r="BD27" s="511">
        <f>+'4 Capital Markets Canada'!BI26+'5 CG - US'!BI26</f>
        <v>7458</v>
      </c>
      <c r="BE27" s="511">
        <v>907</v>
      </c>
      <c r="BF27" s="792">
        <v>1492</v>
      </c>
      <c r="BG27" s="637">
        <v>804</v>
      </c>
      <c r="BH27" s="637">
        <v>1063</v>
      </c>
      <c r="BI27" s="647">
        <v>893</v>
      </c>
      <c r="BJ27" s="647">
        <v>470</v>
      </c>
      <c r="BK27" s="647">
        <v>1291</v>
      </c>
      <c r="BL27" s="580"/>
      <c r="BN27" s="580"/>
      <c r="BO27" s="580"/>
      <c r="BP27" s="580"/>
      <c r="BQ27" s="580"/>
    </row>
    <row r="28" spans="1:69" ht="12.75" customHeight="1" x14ac:dyDescent="0.2">
      <c r="A28" s="589"/>
      <c r="B28" s="621" t="s">
        <v>72</v>
      </c>
      <c r="C28" s="627">
        <f t="shared" si="5"/>
        <v>-850</v>
      </c>
      <c r="D28" s="628">
        <f t="shared" si="6"/>
        <v>-0.5494505494505495</v>
      </c>
      <c r="E28" s="629"/>
      <c r="F28" s="633"/>
      <c r="G28" s="183"/>
      <c r="H28" s="778"/>
      <c r="I28" s="787">
        <f>+'4 Capital Markets Canada'!M27+'5 CG - US'!M27</f>
        <v>697</v>
      </c>
      <c r="J28" s="633">
        <f>+'4 Capital Markets Canada'!N27+'5 CG - US'!N27</f>
        <v>644</v>
      </c>
      <c r="K28" s="183">
        <f>+'4 Capital Markets Canada'!O27+'5 CG - US'!O27</f>
        <v>1864</v>
      </c>
      <c r="L28" s="778">
        <f>+'4 Capital Markets Canada'!P27+'5 CG - US'!P27</f>
        <v>1221</v>
      </c>
      <c r="M28" s="787">
        <f>+'4 Capital Markets Canada'!Q27+'5 CG - US'!Q27</f>
        <v>1547</v>
      </c>
      <c r="N28" s="633">
        <f>+'4 Capital Markets Canada'!R27+'5 CG - US'!R27</f>
        <v>1288</v>
      </c>
      <c r="O28" s="183">
        <f>+'4 Capital Markets Canada'!S27+'5 CG - US'!S27</f>
        <v>1327</v>
      </c>
      <c r="P28" s="778">
        <f>+'4 Capital Markets Canada'!T27+'5 CG - US'!T27</f>
        <v>1112</v>
      </c>
      <c r="Q28" s="787">
        <f>+'4 Capital Markets Canada'!U27+'5 CG - US'!U27</f>
        <v>756</v>
      </c>
      <c r="R28" s="778">
        <f>+'4 Capital Markets Canada'!V27+'5 CG - US'!V27</f>
        <v>939</v>
      </c>
      <c r="S28" s="778">
        <f>+'4 Capital Markets Canada'!W27+'5 CG - US'!W27</f>
        <v>1237</v>
      </c>
      <c r="T28" s="778">
        <v>1037</v>
      </c>
      <c r="U28" s="787">
        <v>121</v>
      </c>
      <c r="V28" s="778">
        <v>34</v>
      </c>
      <c r="W28" s="778">
        <v>-103</v>
      </c>
      <c r="X28" s="778">
        <v>275</v>
      </c>
      <c r="Y28" s="787">
        <f>+'3 Canaccord Genuity '!AC31-'6 CG - UK'!AC26-'5 CG - US'!AC27-'7 CG Other Foreign Loc'!AC29</f>
        <v>690</v>
      </c>
      <c r="Z28" s="778">
        <v>472</v>
      </c>
      <c r="AA28" s="778">
        <v>550</v>
      </c>
      <c r="AB28" s="778">
        <v>709</v>
      </c>
      <c r="AC28" s="787">
        <v>1042</v>
      </c>
      <c r="AD28" s="778">
        <v>608</v>
      </c>
      <c r="AE28" s="778">
        <v>1167</v>
      </c>
      <c r="AF28" s="778">
        <v>272</v>
      </c>
      <c r="AG28" s="787">
        <v>657</v>
      </c>
      <c r="AH28" s="778">
        <v>605</v>
      </c>
      <c r="AI28" s="778">
        <v>643</v>
      </c>
      <c r="AJ28" s="778">
        <v>602</v>
      </c>
      <c r="AK28" s="787">
        <v>517</v>
      </c>
      <c r="AL28" s="788">
        <v>692</v>
      </c>
      <c r="AM28" s="788">
        <v>3936</v>
      </c>
      <c r="AN28" s="788">
        <v>5582</v>
      </c>
      <c r="AO28" s="788">
        <v>4292</v>
      </c>
      <c r="AP28" s="789">
        <v>3663</v>
      </c>
      <c r="AQ28" s="787">
        <v>2463</v>
      </c>
      <c r="AR28" s="787">
        <v>3310</v>
      </c>
      <c r="AS28" s="787">
        <v>1287</v>
      </c>
      <c r="AT28" s="805"/>
      <c r="AU28" s="778">
        <f t="shared" si="7"/>
        <v>4632</v>
      </c>
      <c r="AV28" s="778">
        <f t="shared" si="8"/>
        <v>3195</v>
      </c>
      <c r="AW28" s="790">
        <f t="shared" si="9"/>
        <v>793</v>
      </c>
      <c r="AX28" s="628">
        <f t="shared" si="1"/>
        <v>0.17689047512826234</v>
      </c>
      <c r="AY28" s="791"/>
      <c r="AZ28" s="511">
        <f t="shared" si="3"/>
        <v>5276</v>
      </c>
      <c r="BA28" s="511">
        <f t="shared" si="4"/>
        <v>4483</v>
      </c>
      <c r="BB28" s="511">
        <f>+'4 Capital Markets Canada'!BG27+'5 CG - US'!BG27</f>
        <v>6300</v>
      </c>
      <c r="BC28" s="511">
        <f>+'4 Capital Markets Canada'!BH27+'5 CG - US'!BH27</f>
        <v>5431</v>
      </c>
      <c r="BD28" s="511">
        <f>+'4 Capital Markets Canada'!BI27+'5 CG - US'!BI27</f>
        <v>6037</v>
      </c>
      <c r="BE28" s="511">
        <v>3213</v>
      </c>
      <c r="BF28" s="792">
        <v>2422</v>
      </c>
      <c r="BG28" s="637">
        <v>2174</v>
      </c>
      <c r="BH28" s="637">
        <v>1510</v>
      </c>
      <c r="BI28" s="647">
        <v>538</v>
      </c>
      <c r="BJ28" s="647">
        <v>590</v>
      </c>
      <c r="BK28" s="647">
        <v>836</v>
      </c>
      <c r="BL28" s="580"/>
      <c r="BN28" s="580"/>
      <c r="BO28" s="580"/>
      <c r="BP28" s="580"/>
      <c r="BQ28" s="580"/>
    </row>
    <row r="29" spans="1:69" ht="12.75" customHeight="1" x14ac:dyDescent="0.2">
      <c r="A29" s="589"/>
      <c r="B29" s="589" t="s">
        <v>160</v>
      </c>
      <c r="C29" s="627">
        <f t="shared" si="5"/>
        <v>0</v>
      </c>
      <c r="D29" s="628">
        <v>0</v>
      </c>
      <c r="E29" s="629"/>
      <c r="F29" s="183"/>
      <c r="G29" s="183"/>
      <c r="H29" s="528"/>
      <c r="I29" s="793">
        <f>+'4 Capital Markets Canada'!M28+'5 CG - US'!M28</f>
        <v>0</v>
      </c>
      <c r="J29" s="183">
        <f>+'4 Capital Markets Canada'!N28+'5 CG - US'!N28</f>
        <v>11354</v>
      </c>
      <c r="K29" s="183">
        <f>+'4 Capital Markets Canada'!O28+'5 CG - US'!O28</f>
        <v>0</v>
      </c>
      <c r="L29" s="528">
        <f>+'4 Capital Markets Canada'!P28+'5 CG - US'!P28</f>
        <v>0</v>
      </c>
      <c r="M29" s="793">
        <f>+'4 Capital Markets Canada'!Q28+'5 CG - US'!Q28</f>
        <v>0</v>
      </c>
      <c r="N29" s="183">
        <f>+'4 Capital Markets Canada'!R28+'5 CG - US'!R28</f>
        <v>0</v>
      </c>
      <c r="O29" s="183">
        <f>+'4 Capital Markets Canada'!S28+'5 CG - US'!S28</f>
        <v>0</v>
      </c>
      <c r="P29" s="528">
        <f>+'4 Capital Markets Canada'!T28+'5 CG - US'!T28</f>
        <v>4179</v>
      </c>
      <c r="Q29" s="793">
        <f>+'4 Capital Markets Canada'!U28+'5 CG - US'!U28</f>
        <v>0</v>
      </c>
      <c r="R29" s="528">
        <f>+'4 Capital Markets Canada'!V28+'5 CG - US'!V28</f>
        <v>0</v>
      </c>
      <c r="S29" s="528">
        <f>+'4 Capital Markets Canada'!W28+'5 CG - US'!W28</f>
        <v>2985</v>
      </c>
      <c r="T29" s="528">
        <v>575</v>
      </c>
      <c r="U29" s="793">
        <v>0</v>
      </c>
      <c r="V29" s="528">
        <v>6979</v>
      </c>
      <c r="W29" s="528">
        <v>884</v>
      </c>
      <c r="X29" s="784">
        <v>0</v>
      </c>
      <c r="Y29" s="793">
        <f>+'3 Canaccord Genuity '!AC28-'6 CG - UK'!AC24-'5 CG - US'!AC24-'7 CG Other Foreign Loc'!AC26</f>
        <v>-343</v>
      </c>
      <c r="Z29" s="528">
        <v>0</v>
      </c>
      <c r="AA29" s="528">
        <v>0</v>
      </c>
      <c r="AB29" s="784">
        <v>0</v>
      </c>
      <c r="AC29" s="793">
        <v>0</v>
      </c>
      <c r="AD29" s="778">
        <v>0</v>
      </c>
      <c r="AE29" s="784">
        <v>0</v>
      </c>
      <c r="AF29" s="784">
        <v>0</v>
      </c>
      <c r="AG29" s="793">
        <v>0</v>
      </c>
      <c r="AH29" s="784">
        <v>22</v>
      </c>
      <c r="AI29" s="784">
        <v>5010</v>
      </c>
      <c r="AJ29" s="784">
        <v>0</v>
      </c>
      <c r="AK29" s="787">
        <v>0</v>
      </c>
      <c r="AL29" s="797">
        <v>0</v>
      </c>
      <c r="AM29" s="797">
        <v>0</v>
      </c>
      <c r="AN29" s="797">
        <v>0</v>
      </c>
      <c r="AO29" s="797">
        <v>0</v>
      </c>
      <c r="AP29" s="798">
        <v>0</v>
      </c>
      <c r="AQ29" s="799">
        <v>0</v>
      </c>
      <c r="AR29" s="799"/>
      <c r="AS29" s="799"/>
      <c r="AT29" s="798"/>
      <c r="AU29" s="778">
        <f t="shared" si="7"/>
        <v>0</v>
      </c>
      <c r="AV29" s="784">
        <f t="shared" si="8"/>
        <v>4179</v>
      </c>
      <c r="AW29" s="790">
        <f t="shared" si="9"/>
        <v>7175</v>
      </c>
      <c r="AX29" s="628">
        <f t="shared" si="1"/>
        <v>1.7169179229480738</v>
      </c>
      <c r="AY29" s="800"/>
      <c r="AZ29" s="531">
        <f t="shared" si="3"/>
        <v>11354</v>
      </c>
      <c r="BA29" s="531">
        <f t="shared" si="4"/>
        <v>4179</v>
      </c>
      <c r="BB29" s="531">
        <f>+'4 Capital Markets Canada'!BG28+'5 CG - US'!BG28</f>
        <v>7380</v>
      </c>
      <c r="BC29" s="531">
        <f>+'4 Capital Markets Canada'!BH28+'5 CG - US'!BH28</f>
        <v>11029</v>
      </c>
      <c r="BD29" s="808">
        <f>+'4 Capital Markets Canada'!BI28+'5 CG - US'!BI28</f>
        <v>0</v>
      </c>
      <c r="BE29" s="808">
        <v>0</v>
      </c>
      <c r="BF29" s="801">
        <v>4697</v>
      </c>
      <c r="BG29" s="665">
        <v>0</v>
      </c>
      <c r="BH29" s="665">
        <v>0</v>
      </c>
      <c r="BI29" s="666">
        <v>0</v>
      </c>
      <c r="BJ29" s="647">
        <v>0</v>
      </c>
      <c r="BK29" s="647">
        <v>0</v>
      </c>
      <c r="BL29" s="580"/>
      <c r="BN29" s="580"/>
      <c r="BO29" s="580"/>
      <c r="BP29" s="580"/>
      <c r="BQ29" s="580"/>
    </row>
    <row r="30" spans="1:69" ht="12.75" customHeight="1" x14ac:dyDescent="0.2">
      <c r="A30" s="589"/>
      <c r="B30" s="589" t="s">
        <v>181</v>
      </c>
      <c r="C30" s="627">
        <f t="shared" si="5"/>
        <v>0</v>
      </c>
      <c r="D30" s="628">
        <v>0</v>
      </c>
      <c r="E30" s="629"/>
      <c r="F30" s="183"/>
      <c r="G30" s="183"/>
      <c r="H30" s="528"/>
      <c r="I30" s="793">
        <f>+'4 Capital Markets Canada'!M29+'5 CG - US'!M29</f>
        <v>0</v>
      </c>
      <c r="J30" s="183">
        <f>+'4 Capital Markets Canada'!N29+'5 CG - US'!N29</f>
        <v>0</v>
      </c>
      <c r="K30" s="183">
        <f>+'4 Capital Markets Canada'!O29+'5 CG - US'!O29</f>
        <v>0</v>
      </c>
      <c r="L30" s="528">
        <f>+'4 Capital Markets Canada'!P29+'5 CG - US'!P29</f>
        <v>0</v>
      </c>
      <c r="M30" s="793">
        <f>+'4 Capital Markets Canada'!Q29+'5 CG - US'!Q29</f>
        <v>0</v>
      </c>
      <c r="N30" s="183">
        <f>+'4 Capital Markets Canada'!R29+'5 CG - US'!R29</f>
        <v>0</v>
      </c>
      <c r="O30" s="183">
        <f>+'4 Capital Markets Canada'!S29+'5 CG - US'!S29</f>
        <v>0</v>
      </c>
      <c r="P30" s="528">
        <f>+'4 Capital Markets Canada'!T29+'5 CG - US'!T29</f>
        <v>0</v>
      </c>
      <c r="Q30" s="793">
        <f>+'4 Capital Markets Canada'!U29+'5 CG - US'!U29</f>
        <v>0</v>
      </c>
      <c r="R30" s="528">
        <f>+'4 Capital Markets Canada'!V29+'5 CG - US'!V29</f>
        <v>0</v>
      </c>
      <c r="S30" s="528">
        <f>+'4 Capital Markets Canada'!W29+'5 CG - US'!W29</f>
        <v>0</v>
      </c>
      <c r="T30" s="528">
        <v>388</v>
      </c>
      <c r="U30" s="793">
        <v>0</v>
      </c>
      <c r="V30" s="528">
        <v>0</v>
      </c>
      <c r="W30" s="528">
        <v>2290</v>
      </c>
      <c r="X30" s="784">
        <v>1443</v>
      </c>
      <c r="Y30" s="793" t="e">
        <f>+'3 Canaccord Genuity '!#REF!-'6 CG - UK'!AC29-'5 CG - US'!AC30</f>
        <v>#REF!</v>
      </c>
      <c r="Z30" s="528">
        <v>0</v>
      </c>
      <c r="AA30" s="528">
        <v>1750</v>
      </c>
      <c r="AB30" s="784">
        <v>0</v>
      </c>
      <c r="AC30" s="793">
        <v>10990</v>
      </c>
      <c r="AD30" s="778">
        <v>5000</v>
      </c>
      <c r="AE30" s="784">
        <v>0</v>
      </c>
      <c r="AF30" s="784">
        <v>0</v>
      </c>
      <c r="AG30" s="793">
        <v>0</v>
      </c>
      <c r="AH30" s="784">
        <v>0</v>
      </c>
      <c r="AI30" s="784">
        <v>0</v>
      </c>
      <c r="AJ30" s="784">
        <v>0</v>
      </c>
      <c r="AK30" s="787">
        <v>0</v>
      </c>
      <c r="AL30" s="797"/>
      <c r="AM30" s="797">
        <v>0</v>
      </c>
      <c r="AN30" s="797">
        <v>0</v>
      </c>
      <c r="AO30" s="797">
        <v>0</v>
      </c>
      <c r="AP30" s="798">
        <v>0</v>
      </c>
      <c r="AQ30" s="799">
        <v>0</v>
      </c>
      <c r="AR30" s="799">
        <v>0</v>
      </c>
      <c r="AS30" s="799">
        <v>0</v>
      </c>
      <c r="AT30" s="798"/>
      <c r="AU30" s="778">
        <f t="shared" si="7"/>
        <v>0</v>
      </c>
      <c r="AV30" s="784">
        <f t="shared" si="8"/>
        <v>0</v>
      </c>
      <c r="AW30" s="790">
        <f t="shared" si="9"/>
        <v>0</v>
      </c>
      <c r="AX30" s="628">
        <v>0</v>
      </c>
      <c r="AY30" s="800"/>
      <c r="AZ30" s="808">
        <f t="shared" si="3"/>
        <v>0</v>
      </c>
      <c r="BA30" s="808">
        <f t="shared" si="4"/>
        <v>0</v>
      </c>
      <c r="BB30" s="531">
        <f>+'4 Capital Markets Canada'!BG29+'5 CG - US'!BG29</f>
        <v>388</v>
      </c>
      <c r="BC30" s="531">
        <f>+'4 Capital Markets Canada'!BH29+'5 CG - US'!BH29</f>
        <v>4171</v>
      </c>
      <c r="BD30" s="531">
        <f>+'4 Capital Markets Canada'!BI29+'5 CG - US'!BI29</f>
        <v>12740</v>
      </c>
      <c r="BE30" s="531">
        <v>5000</v>
      </c>
      <c r="BF30" s="801">
        <v>0</v>
      </c>
      <c r="BG30" s="665">
        <v>0</v>
      </c>
      <c r="BH30" s="665">
        <v>0</v>
      </c>
      <c r="BI30" s="666">
        <v>0</v>
      </c>
      <c r="BJ30" s="647"/>
      <c r="BK30" s="647">
        <v>0</v>
      </c>
      <c r="BL30" s="580"/>
      <c r="BN30" s="580"/>
      <c r="BO30" s="580"/>
      <c r="BP30" s="580"/>
      <c r="BQ30" s="580"/>
    </row>
    <row r="31" spans="1:69" ht="12.75" hidden="1" customHeight="1" x14ac:dyDescent="0.2">
      <c r="A31" s="589"/>
      <c r="B31" s="669" t="s">
        <v>159</v>
      </c>
      <c r="C31" s="627">
        <f t="shared" si="5"/>
        <v>0</v>
      </c>
      <c r="D31" s="628">
        <v>0</v>
      </c>
      <c r="E31" s="629"/>
      <c r="F31" s="667"/>
      <c r="G31" s="667"/>
      <c r="H31" s="795"/>
      <c r="I31" s="802"/>
      <c r="J31" s="667"/>
      <c r="K31" s="667"/>
      <c r="L31" s="795"/>
      <c r="M31" s="802"/>
      <c r="N31" s="667"/>
      <c r="O31" s="667"/>
      <c r="P31" s="795"/>
      <c r="Q31" s="802"/>
      <c r="R31" s="795"/>
      <c r="S31" s="795"/>
      <c r="T31" s="795"/>
      <c r="U31" s="802"/>
      <c r="V31" s="795"/>
      <c r="W31" s="795"/>
      <c r="X31" s="795"/>
      <c r="Y31" s="802"/>
      <c r="Z31" s="795"/>
      <c r="AA31" s="795"/>
      <c r="AB31" s="795"/>
      <c r="AC31" s="802"/>
      <c r="AD31" s="795"/>
      <c r="AE31" s="795"/>
      <c r="AF31" s="795"/>
      <c r="AG31" s="802"/>
      <c r="AH31" s="795"/>
      <c r="AI31" s="795"/>
      <c r="AJ31" s="795"/>
      <c r="AK31" s="802"/>
      <c r="AL31" s="804"/>
      <c r="AM31" s="795">
        <v>0</v>
      </c>
      <c r="AN31" s="795">
        <v>0</v>
      </c>
      <c r="AO31" s="795">
        <v>0</v>
      </c>
      <c r="AP31" s="804">
        <v>0</v>
      </c>
      <c r="AQ31" s="802">
        <v>0</v>
      </c>
      <c r="AR31" s="802">
        <v>0</v>
      </c>
      <c r="AS31" s="802">
        <v>0</v>
      </c>
      <c r="AT31" s="805"/>
      <c r="AU31" s="778">
        <f>SUM(P31:Q31)</f>
        <v>0</v>
      </c>
      <c r="AV31" s="795">
        <f>SUM(W31:Y31)</f>
        <v>0</v>
      </c>
      <c r="AW31" s="807">
        <f t="shared" si="9"/>
        <v>0</v>
      </c>
      <c r="AX31" s="628" t="e">
        <f>IF(OR((AW31/BA31)&gt;3,(AW31/BA31)&lt;-3),"n.m.",(AW31/BA31))</f>
        <v>#DIV/0!</v>
      </c>
      <c r="AY31" s="791"/>
      <c r="AZ31" s="794"/>
      <c r="BA31" s="794">
        <f t="shared" si="4"/>
        <v>0</v>
      </c>
      <c r="BB31" s="794"/>
      <c r="BC31" s="794"/>
      <c r="BD31" s="794"/>
      <c r="BE31" s="794"/>
      <c r="BF31" s="794"/>
      <c r="BG31" s="668"/>
      <c r="BH31" s="668"/>
      <c r="BI31" s="647"/>
      <c r="BJ31" s="647"/>
      <c r="BK31" s="647">
        <v>0</v>
      </c>
      <c r="BL31" s="580"/>
      <c r="BN31" s="580"/>
      <c r="BO31" s="580"/>
      <c r="BP31" s="580"/>
      <c r="BQ31" s="580"/>
    </row>
    <row r="32" spans="1:69" ht="12.75" hidden="1" customHeight="1" x14ac:dyDescent="0.2">
      <c r="A32" s="589"/>
      <c r="B32" s="589" t="s">
        <v>158</v>
      </c>
      <c r="C32" s="627"/>
      <c r="D32" s="628"/>
      <c r="E32" s="629"/>
      <c r="F32" s="667"/>
      <c r="G32" s="667"/>
      <c r="H32" s="795"/>
      <c r="I32" s="802"/>
      <c r="J32" s="667"/>
      <c r="K32" s="667"/>
      <c r="L32" s="795"/>
      <c r="M32" s="802"/>
      <c r="N32" s="667"/>
      <c r="O32" s="667"/>
      <c r="P32" s="795"/>
      <c r="Q32" s="802"/>
      <c r="R32" s="795"/>
      <c r="S32" s="795"/>
      <c r="T32" s="795"/>
      <c r="U32" s="802"/>
      <c r="V32" s="795"/>
      <c r="W32" s="795">
        <v>0</v>
      </c>
      <c r="X32" s="795">
        <v>0</v>
      </c>
      <c r="Y32" s="802" t="e">
        <f>+'3 Canaccord Genuity '!AC34-'5 CG - US'!#REF!</f>
        <v>#REF!</v>
      </c>
      <c r="Z32" s="795"/>
      <c r="AA32" s="795"/>
      <c r="AB32" s="795"/>
      <c r="AC32" s="802"/>
      <c r="AD32" s="795"/>
      <c r="AE32" s="795">
        <v>0</v>
      </c>
      <c r="AF32" s="795">
        <v>0</v>
      </c>
      <c r="AG32" s="802">
        <v>0</v>
      </c>
      <c r="AH32" s="795">
        <v>0</v>
      </c>
      <c r="AI32" s="795">
        <v>0</v>
      </c>
      <c r="AJ32" s="795">
        <v>0</v>
      </c>
      <c r="AK32" s="802">
        <v>0</v>
      </c>
      <c r="AL32" s="804">
        <v>0</v>
      </c>
      <c r="AM32" s="795">
        <v>0</v>
      </c>
      <c r="AN32" s="795">
        <v>0</v>
      </c>
      <c r="AO32" s="795">
        <v>0</v>
      </c>
      <c r="AP32" s="804">
        <v>0</v>
      </c>
      <c r="AQ32" s="802">
        <v>0</v>
      </c>
      <c r="AR32" s="802"/>
      <c r="AS32" s="802"/>
      <c r="AT32" s="805"/>
      <c r="AU32" s="778">
        <f>SUM(K32:M32)</f>
        <v>0</v>
      </c>
      <c r="AV32" s="795">
        <f>SUM(O32:Q32)</f>
        <v>0</v>
      </c>
      <c r="AW32" s="807"/>
      <c r="AX32" s="628"/>
      <c r="AY32" s="791"/>
      <c r="AZ32" s="808"/>
      <c r="BA32" s="808"/>
      <c r="BB32" s="808"/>
      <c r="BC32" s="808"/>
      <c r="BD32" s="808"/>
      <c r="BE32" s="808"/>
      <c r="BF32" s="794">
        <v>3958</v>
      </c>
      <c r="BG32" s="668">
        <v>0</v>
      </c>
      <c r="BH32" s="668">
        <v>0</v>
      </c>
      <c r="BI32" s="668">
        <v>0</v>
      </c>
      <c r="BJ32" s="668">
        <v>0</v>
      </c>
      <c r="BK32" s="668">
        <v>0</v>
      </c>
      <c r="BL32" s="580"/>
      <c r="BN32" s="580"/>
      <c r="BO32" s="580"/>
      <c r="BP32" s="580"/>
      <c r="BQ32" s="580"/>
    </row>
    <row r="33" spans="1:69" ht="12.75" hidden="1" customHeight="1" x14ac:dyDescent="0.2">
      <c r="A33" s="619"/>
      <c r="B33" s="589"/>
      <c r="C33" s="627"/>
      <c r="D33" s="628"/>
      <c r="E33" s="629"/>
      <c r="F33" s="659"/>
      <c r="G33" s="183"/>
      <c r="H33" s="556"/>
      <c r="I33" s="553"/>
      <c r="J33" s="659"/>
      <c r="K33" s="183"/>
      <c r="L33" s="556"/>
      <c r="M33" s="553"/>
      <c r="N33" s="659"/>
      <c r="O33" s="183"/>
      <c r="P33" s="556"/>
      <c r="Q33" s="553"/>
      <c r="R33" s="784"/>
      <c r="S33" s="528"/>
      <c r="T33" s="556"/>
      <c r="U33" s="553"/>
      <c r="V33" s="784"/>
      <c r="W33" s="556"/>
      <c r="X33" s="556"/>
      <c r="Y33" s="553"/>
      <c r="Z33" s="784"/>
      <c r="AA33" s="556"/>
      <c r="AB33" s="556"/>
      <c r="AC33" s="553"/>
      <c r="AD33" s="784"/>
      <c r="AE33" s="809"/>
      <c r="AF33" s="809"/>
      <c r="AG33" s="810"/>
      <c r="AH33" s="778"/>
      <c r="AI33" s="778"/>
      <c r="AJ33" s="809"/>
      <c r="AK33" s="810"/>
      <c r="AL33" s="811"/>
      <c r="AM33" s="795"/>
      <c r="AN33" s="795"/>
      <c r="AO33" s="795"/>
      <c r="AP33" s="804"/>
      <c r="AQ33" s="802"/>
      <c r="AR33" s="787"/>
      <c r="AS33" s="787"/>
      <c r="AT33" s="805"/>
      <c r="AU33" s="778"/>
      <c r="AV33" s="556"/>
      <c r="AW33" s="790"/>
      <c r="AX33" s="628"/>
      <c r="AY33" s="791"/>
      <c r="AZ33" s="808"/>
      <c r="BA33" s="808"/>
      <c r="BB33" s="808"/>
      <c r="BC33" s="808"/>
      <c r="BD33" s="554"/>
      <c r="BE33" s="808"/>
      <c r="BF33" s="808"/>
      <c r="BG33" s="671"/>
      <c r="BH33" s="671"/>
      <c r="BI33" s="671"/>
      <c r="BJ33" s="647"/>
      <c r="BK33" s="647"/>
      <c r="BL33" s="580"/>
      <c r="BN33" s="580"/>
      <c r="BO33" s="580"/>
      <c r="BP33" s="580"/>
      <c r="BQ33" s="580"/>
    </row>
    <row r="34" spans="1:69" ht="12.75" customHeight="1" x14ac:dyDescent="0.2">
      <c r="A34" s="619"/>
      <c r="B34" s="589"/>
      <c r="C34" s="638">
        <f t="shared" ref="C34:C41" si="10">I34-M34</f>
        <v>-18962</v>
      </c>
      <c r="D34" s="672">
        <f>IF(OR((C34/M34)&gt;3,(C34/M34)&lt;-3),"n.m.",(C34/M34))</f>
        <v>-0.1967155291359331</v>
      </c>
      <c r="E34" s="629"/>
      <c r="F34" s="819"/>
      <c r="G34" s="819"/>
      <c r="H34" s="819"/>
      <c r="I34" s="822">
        <f t="shared" ref="I34:S34" si="11">SUM(I19:I33)</f>
        <v>77431</v>
      </c>
      <c r="J34" s="819">
        <f>SUM(J19:J33)</f>
        <v>102256</v>
      </c>
      <c r="K34" s="819">
        <f t="shared" si="11"/>
        <v>76572</v>
      </c>
      <c r="L34" s="819">
        <f t="shared" si="11"/>
        <v>89207</v>
      </c>
      <c r="M34" s="822">
        <f t="shared" si="11"/>
        <v>96393</v>
      </c>
      <c r="N34" s="819">
        <f t="shared" si="11"/>
        <v>89353</v>
      </c>
      <c r="O34" s="819">
        <f t="shared" si="11"/>
        <v>78152</v>
      </c>
      <c r="P34" s="819">
        <f t="shared" si="11"/>
        <v>73255</v>
      </c>
      <c r="Q34" s="822">
        <f t="shared" si="11"/>
        <v>72341</v>
      </c>
      <c r="R34" s="819">
        <f t="shared" si="11"/>
        <v>81542</v>
      </c>
      <c r="S34" s="819">
        <f t="shared" si="11"/>
        <v>88746</v>
      </c>
      <c r="T34" s="819">
        <f>SUM(T19:T32)</f>
        <v>35842</v>
      </c>
      <c r="U34" s="822">
        <f>SUM(U19:U32)</f>
        <v>31620</v>
      </c>
      <c r="V34" s="819">
        <v>58961</v>
      </c>
      <c r="W34" s="819">
        <v>43143</v>
      </c>
      <c r="X34" s="819">
        <v>37095</v>
      </c>
      <c r="Y34" s="822" t="e">
        <f>SUM(Y19:Y33)</f>
        <v>#REF!</v>
      </c>
      <c r="Z34" s="825">
        <f>SUM(Z19:Z33)</f>
        <v>50271</v>
      </c>
      <c r="AA34" s="825">
        <f>SUM(AA19:AA33)</f>
        <v>61943</v>
      </c>
      <c r="AB34" s="819">
        <f>SUM(AB19:AB33)</f>
        <v>34417</v>
      </c>
      <c r="AC34" s="822">
        <f>SUM(AC19:AC33)</f>
        <v>44140</v>
      </c>
      <c r="AD34" s="819">
        <v>27693</v>
      </c>
      <c r="AE34" s="825">
        <v>37922</v>
      </c>
      <c r="AF34" s="819">
        <v>19480</v>
      </c>
      <c r="AG34" s="822">
        <v>22187</v>
      </c>
      <c r="AH34" s="825">
        <f>SUM(AH19:AH33)</f>
        <v>15783</v>
      </c>
      <c r="AI34" s="825">
        <f>SUM(AI19:AI33)</f>
        <v>21597</v>
      </c>
      <c r="AJ34" s="825">
        <f>SUM(AJ19:AJ33)</f>
        <v>20639</v>
      </c>
      <c r="AK34" s="822">
        <f>SUM(AK19:AK33)</f>
        <v>27571</v>
      </c>
      <c r="AL34" s="825">
        <f>SUM(AL19:AL33)</f>
        <v>24147</v>
      </c>
      <c r="AM34" s="825">
        <v>87449</v>
      </c>
      <c r="AN34" s="818">
        <v>74128</v>
      </c>
      <c r="AO34" s="825">
        <v>106349</v>
      </c>
      <c r="AP34" s="826">
        <v>100905</v>
      </c>
      <c r="AQ34" s="822">
        <v>75317</v>
      </c>
      <c r="AR34" s="822">
        <v>70703</v>
      </c>
      <c r="AS34" s="825">
        <v>91522</v>
      </c>
      <c r="AT34" s="805"/>
      <c r="AU34" s="819">
        <f>SUM(AU19:AU33)</f>
        <v>262172</v>
      </c>
      <c r="AV34" s="819">
        <f>SUM(AV19:AV33)</f>
        <v>223748</v>
      </c>
      <c r="AW34" s="840">
        <f t="shared" ref="AW34:AW41" si="12">AZ34-BA34</f>
        <v>51327</v>
      </c>
      <c r="AX34" s="674">
        <f>IF(OR((AW34/BA34)&gt;3,(AW34/BA34)&lt;-3),"n.m.",(AW34/BA34))</f>
        <v>0.16393112765529333</v>
      </c>
      <c r="AY34" s="623"/>
      <c r="AZ34" s="675">
        <f>SUM(AZ19:AZ33)</f>
        <v>364428</v>
      </c>
      <c r="BA34" s="675">
        <f>SUM(BA19:BA33)</f>
        <v>313101</v>
      </c>
      <c r="BB34" s="675">
        <f>SUM(BB19:BB33)</f>
        <v>320551</v>
      </c>
      <c r="BC34" s="675">
        <f>SUM(BC19:BC33)</f>
        <v>269174</v>
      </c>
      <c r="BD34" s="675">
        <f>SUM(BD19:BD33)</f>
        <v>310989</v>
      </c>
      <c r="BE34" s="675">
        <v>129651</v>
      </c>
      <c r="BF34" s="675">
        <v>111254</v>
      </c>
      <c r="BG34" s="675">
        <f>SUM(BG19:BG33)</f>
        <v>120138</v>
      </c>
      <c r="BH34" s="675">
        <f>SUM(BH19:BH33)</f>
        <v>125171</v>
      </c>
      <c r="BI34" s="676">
        <f>SUM(BI19:BI33)</f>
        <v>105485</v>
      </c>
      <c r="BJ34" s="676">
        <f>SUM(BJ19:BJ33)</f>
        <v>67435</v>
      </c>
      <c r="BK34" s="642">
        <v>154490</v>
      </c>
      <c r="BL34" s="580"/>
      <c r="BN34" s="580"/>
      <c r="BO34" s="580"/>
      <c r="BP34" s="580"/>
      <c r="BQ34" s="580"/>
    </row>
    <row r="35" spans="1:69" s="680" customFormat="1" ht="24.95" customHeight="1" thickBot="1" x14ac:dyDescent="0.25">
      <c r="A35" s="2473" t="s">
        <v>179</v>
      </c>
      <c r="B35" s="2474"/>
      <c r="C35" s="638">
        <f t="shared" si="10"/>
        <v>-12376</v>
      </c>
      <c r="D35" s="639">
        <f>IF(OR((C35/M35)&gt;3,(C35/M35)&lt;-3),"n.m.",(C35/M35))</f>
        <v>-0.51446624542733621</v>
      </c>
      <c r="E35" s="629"/>
      <c r="F35" s="828"/>
      <c r="G35" s="828"/>
      <c r="H35" s="828"/>
      <c r="I35" s="827">
        <f t="shared" ref="I35:S35" si="13">I15-I34</f>
        <v>11680</v>
      </c>
      <c r="J35" s="828">
        <f t="shared" si="13"/>
        <v>2551</v>
      </c>
      <c r="K35" s="828">
        <f t="shared" si="13"/>
        <v>-3887</v>
      </c>
      <c r="L35" s="828">
        <f t="shared" si="13"/>
        <v>20409</v>
      </c>
      <c r="M35" s="827">
        <f t="shared" si="13"/>
        <v>24056</v>
      </c>
      <c r="N35" s="828">
        <f t="shared" si="13"/>
        <v>24977</v>
      </c>
      <c r="O35" s="828">
        <f t="shared" si="13"/>
        <v>11400</v>
      </c>
      <c r="P35" s="828">
        <f t="shared" si="13"/>
        <v>2009</v>
      </c>
      <c r="Q35" s="827">
        <f t="shared" si="13"/>
        <v>13512</v>
      </c>
      <c r="R35" s="828">
        <f t="shared" si="13"/>
        <v>20478</v>
      </c>
      <c r="S35" s="828">
        <f t="shared" si="13"/>
        <v>25333</v>
      </c>
      <c r="T35" s="828">
        <v>-396</v>
      </c>
      <c r="U35" s="827">
        <v>4004</v>
      </c>
      <c r="V35" s="828">
        <v>12045</v>
      </c>
      <c r="W35" s="828">
        <v>13799</v>
      </c>
      <c r="X35" s="828">
        <v>5396</v>
      </c>
      <c r="Y35" s="827" t="e">
        <f t="shared" ref="Y35:AL35" si="14">Y15-Y34</f>
        <v>#REF!</v>
      </c>
      <c r="Z35" s="828">
        <f t="shared" si="14"/>
        <v>38361</v>
      </c>
      <c r="AA35" s="828">
        <f t="shared" si="14"/>
        <v>47461</v>
      </c>
      <c r="AB35" s="784">
        <f t="shared" si="14"/>
        <v>15492</v>
      </c>
      <c r="AC35" s="827">
        <f t="shared" si="14"/>
        <v>8917</v>
      </c>
      <c r="AD35" s="784">
        <f t="shared" si="14"/>
        <v>5113</v>
      </c>
      <c r="AE35" s="828">
        <f t="shared" si="14"/>
        <v>20118</v>
      </c>
      <c r="AF35" s="784">
        <f>AF15-AF34</f>
        <v>7834</v>
      </c>
      <c r="AG35" s="827">
        <f t="shared" si="14"/>
        <v>7867</v>
      </c>
      <c r="AH35" s="828">
        <f t="shared" si="14"/>
        <v>9250</v>
      </c>
      <c r="AI35" s="828">
        <f t="shared" si="14"/>
        <v>-8958</v>
      </c>
      <c r="AJ35" s="828">
        <f t="shared" si="14"/>
        <v>2822</v>
      </c>
      <c r="AK35" s="827">
        <f t="shared" si="14"/>
        <v>6781</v>
      </c>
      <c r="AL35" s="828">
        <f t="shared" si="14"/>
        <v>7797</v>
      </c>
      <c r="AM35" s="819">
        <v>22134</v>
      </c>
      <c r="AN35" s="818">
        <v>14943</v>
      </c>
      <c r="AO35" s="819">
        <v>48674</v>
      </c>
      <c r="AP35" s="819">
        <v>29246</v>
      </c>
      <c r="AQ35" s="819">
        <v>26110</v>
      </c>
      <c r="AR35" s="819">
        <v>22330</v>
      </c>
      <c r="AS35" s="819">
        <v>33584</v>
      </c>
      <c r="AT35" s="805"/>
      <c r="AU35" s="828">
        <f>AU15-AU34</f>
        <v>40578</v>
      </c>
      <c r="AV35" s="828">
        <f>AV15-AV34</f>
        <v>26921</v>
      </c>
      <c r="AW35" s="839">
        <f t="shared" si="12"/>
        <v>-8769</v>
      </c>
      <c r="AX35" s="639">
        <f>IF(OR((AW35/BA35)&gt;3,(AW35/BA35)&lt;-3),"n.m.",(AW35/BA35))</f>
        <v>-0.16896604878800725</v>
      </c>
      <c r="AY35" s="623"/>
      <c r="AZ35" s="641">
        <f>AZ15-AZ34</f>
        <v>43129</v>
      </c>
      <c r="BA35" s="641">
        <f>BA15-BA34</f>
        <v>51898</v>
      </c>
      <c r="BB35" s="641">
        <f>BB15-BB34</f>
        <v>37141</v>
      </c>
      <c r="BC35" s="641">
        <f>BC15-BC34</f>
        <v>42618</v>
      </c>
      <c r="BD35" s="641">
        <f>BD15-BD34</f>
        <v>133750</v>
      </c>
      <c r="BE35" s="641">
        <v>47930</v>
      </c>
      <c r="BF35" s="641">
        <v>11596</v>
      </c>
      <c r="BG35" s="677">
        <f>BG15-BG34</f>
        <v>56517</v>
      </c>
      <c r="BH35" s="677">
        <f>BH15-BH34</f>
        <v>62391</v>
      </c>
      <c r="BI35" s="642">
        <f>BI15-BI34</f>
        <v>44985</v>
      </c>
      <c r="BJ35" s="642">
        <f>BJ15-BJ34</f>
        <v>28124</v>
      </c>
      <c r="BK35" s="678">
        <v>57268</v>
      </c>
      <c r="BL35" s="679"/>
      <c r="BN35" s="679"/>
      <c r="BO35" s="679"/>
      <c r="BP35" s="679"/>
      <c r="BQ35" s="679"/>
    </row>
    <row r="36" spans="1:69" s="140" customFormat="1" ht="12.75" hidden="1" customHeight="1" outlineLevel="1" thickTop="1" x14ac:dyDescent="0.2">
      <c r="A36" s="548"/>
      <c r="B36" s="552" t="s">
        <v>337</v>
      </c>
      <c r="C36" s="315" t="e">
        <f t="shared" si="10"/>
        <v>#REF!</v>
      </c>
      <c r="D36" s="356" t="e">
        <f>IF(OR((C36/M36)&gt;3,(C36/M36)&lt;-3),"n.m.",(C36/M36))</f>
        <v>#REF!</v>
      </c>
      <c r="E36" s="502"/>
      <c r="F36" s="164"/>
      <c r="G36" s="505"/>
      <c r="H36" s="505"/>
      <c r="I36" s="506" t="e">
        <f>+'4 Capital Markets Canada'!#REF!+'5 CG - US'!M32</f>
        <v>#REF!</v>
      </c>
      <c r="J36" s="562" t="e">
        <f>'4 Capital Markets Canada'!#REF!+'5 CG - US'!#REF!</f>
        <v>#REF!</v>
      </c>
      <c r="K36" s="505">
        <v>3336</v>
      </c>
      <c r="L36" s="505">
        <v>3885</v>
      </c>
      <c r="M36" s="506">
        <v>3376</v>
      </c>
      <c r="N36" s="164">
        <f>3857+1110</f>
        <v>4967</v>
      </c>
      <c r="O36" s="164">
        <v>3970</v>
      </c>
      <c r="P36" s="505">
        <v>3306</v>
      </c>
      <c r="Q36" s="506">
        <v>3095</v>
      </c>
      <c r="R36" s="495">
        <v>2855</v>
      </c>
      <c r="S36" s="505">
        <v>3118</v>
      </c>
      <c r="T36" s="509">
        <v>3107</v>
      </c>
      <c r="U36" s="508">
        <v>3192</v>
      </c>
      <c r="V36" s="509">
        <v>3575</v>
      </c>
      <c r="W36" s="509">
        <v>3056</v>
      </c>
      <c r="X36" s="509">
        <v>3566</v>
      </c>
      <c r="Y36" s="506">
        <v>3326</v>
      </c>
      <c r="Z36" s="505"/>
      <c r="AA36" s="505"/>
      <c r="AB36" s="505"/>
      <c r="AC36" s="506"/>
      <c r="AD36" s="505"/>
      <c r="AE36" s="505"/>
      <c r="AF36" s="505"/>
      <c r="AG36" s="506"/>
      <c r="AH36" s="549"/>
      <c r="AI36" s="318"/>
      <c r="AJ36" s="318"/>
      <c r="AK36" s="319"/>
      <c r="AL36" s="318"/>
      <c r="AM36" s="505"/>
      <c r="AN36" s="506"/>
      <c r="AO36" s="505"/>
      <c r="AP36" s="505"/>
      <c r="AQ36" s="505"/>
      <c r="AR36" s="505"/>
      <c r="AS36" s="505"/>
      <c r="AT36" s="173"/>
      <c r="AU36" s="283">
        <f>+SUM(K36:M36)</f>
        <v>10597</v>
      </c>
      <c r="AV36" s="505">
        <f>U36+T36</f>
        <v>6299</v>
      </c>
      <c r="AW36" s="512" t="e">
        <f t="shared" si="12"/>
        <v>#REF!</v>
      </c>
      <c r="AX36" s="503" t="e">
        <f>IF(OR((AW36/BA36)&gt;3,(AW36/BA36)&lt;-3),"n.m.",(AW36/BA36))</f>
        <v>#REF!</v>
      </c>
      <c r="AY36" s="172"/>
      <c r="AZ36" s="838" t="e">
        <f>+'4 Capital Markets Canada'!#REF!+'5 CG - US'!BE32</f>
        <v>#REF!</v>
      </c>
      <c r="BA36" s="563">
        <f>+SUM(N36:Q36)</f>
        <v>15338</v>
      </c>
      <c r="BB36" s="511"/>
      <c r="BC36" s="511"/>
      <c r="BD36" s="511"/>
      <c r="BE36" s="511">
        <v>9597</v>
      </c>
      <c r="BF36" s="319" t="s">
        <v>177</v>
      </c>
      <c r="BG36" s="544"/>
      <c r="BH36" s="544"/>
      <c r="BI36" s="545"/>
      <c r="BJ36" s="545"/>
      <c r="BK36" s="183"/>
      <c r="BL36" s="331"/>
      <c r="BM36" s="331"/>
      <c r="BN36" s="331"/>
      <c r="BO36" s="331"/>
    </row>
    <row r="37" spans="1:69" s="140" customFormat="1" ht="12.75" hidden="1" customHeight="1" outlineLevel="1" x14ac:dyDescent="0.2">
      <c r="A37" s="548"/>
      <c r="B37" s="552" t="s">
        <v>338</v>
      </c>
      <c r="C37" s="464" t="e">
        <f t="shared" si="10"/>
        <v>#REF!</v>
      </c>
      <c r="D37" s="503" t="s">
        <v>42</v>
      </c>
      <c r="E37" s="502"/>
      <c r="F37" s="505"/>
      <c r="G37" s="509"/>
      <c r="H37" s="509"/>
      <c r="I37" s="508" t="e">
        <f>+'4 Capital Markets Canada'!#REF!</f>
        <v>#REF!</v>
      </c>
      <c r="J37" s="509" t="e">
        <f>'4 Capital Markets Canada'!#REF!</f>
        <v>#REF!</v>
      </c>
      <c r="K37" s="509">
        <v>-765</v>
      </c>
      <c r="L37" s="509">
        <v>-479</v>
      </c>
      <c r="M37" s="508">
        <v>-660</v>
      </c>
      <c r="N37" s="509">
        <f>-540-784</f>
        <v>-1324</v>
      </c>
      <c r="O37" s="509">
        <v>-653</v>
      </c>
      <c r="P37" s="509">
        <v>-984</v>
      </c>
      <c r="Q37" s="508">
        <v>-123</v>
      </c>
      <c r="R37" s="528">
        <v>0</v>
      </c>
      <c r="S37" s="528">
        <v>0</v>
      </c>
      <c r="T37" s="528">
        <v>0</v>
      </c>
      <c r="U37" s="529">
        <v>0</v>
      </c>
      <c r="V37" s="528">
        <v>0</v>
      </c>
      <c r="W37" s="528">
        <v>0</v>
      </c>
      <c r="X37" s="528">
        <v>0</v>
      </c>
      <c r="Y37" s="529">
        <v>0</v>
      </c>
      <c r="Z37" s="528"/>
      <c r="AA37" s="505"/>
      <c r="AB37" s="505"/>
      <c r="AC37" s="506"/>
      <c r="AD37" s="505"/>
      <c r="AE37" s="505"/>
      <c r="AF37" s="505"/>
      <c r="AG37" s="506"/>
      <c r="AH37" s="318"/>
      <c r="AI37" s="318"/>
      <c r="AJ37" s="318"/>
      <c r="AK37" s="319"/>
      <c r="AL37" s="318"/>
      <c r="AM37" s="505"/>
      <c r="AN37" s="506"/>
      <c r="AO37" s="505"/>
      <c r="AP37" s="505"/>
      <c r="AQ37" s="505"/>
      <c r="AR37" s="505"/>
      <c r="AS37" s="505"/>
      <c r="AT37" s="173"/>
      <c r="AU37" s="283">
        <f>+SUM(K37:M37)</f>
        <v>-1904</v>
      </c>
      <c r="AV37" s="366">
        <f>U37+T37</f>
        <v>0</v>
      </c>
      <c r="AW37" s="512" t="e">
        <f t="shared" si="12"/>
        <v>#REF!</v>
      </c>
      <c r="AX37" s="503" t="s">
        <v>42</v>
      </c>
      <c r="AY37" s="134"/>
      <c r="AZ37" s="349" t="e">
        <f>+'4 Capital Markets Canada'!#REF!</f>
        <v>#REF!</v>
      </c>
      <c r="BA37" s="511">
        <f>+SUM(N37:Q37)</f>
        <v>-3084</v>
      </c>
      <c r="BB37" s="511"/>
      <c r="BC37" s="511"/>
      <c r="BD37" s="511"/>
      <c r="BE37" s="511">
        <v>0</v>
      </c>
      <c r="BF37" s="319" t="s">
        <v>177</v>
      </c>
      <c r="BG37" s="319"/>
      <c r="BH37" s="319"/>
      <c r="BI37" s="333"/>
      <c r="BJ37" s="333"/>
      <c r="BK37" s="183"/>
      <c r="BL37" s="331"/>
      <c r="BM37" s="331"/>
      <c r="BN37" s="331"/>
      <c r="BO37" s="331"/>
    </row>
    <row r="38" spans="1:69" s="140" customFormat="1" ht="12.75" hidden="1" customHeight="1" outlineLevel="1" x14ac:dyDescent="0.2">
      <c r="A38" s="548"/>
      <c r="B38" s="552" t="s">
        <v>339</v>
      </c>
      <c r="C38" s="464" t="e">
        <f t="shared" si="10"/>
        <v>#REF!</v>
      </c>
      <c r="D38" s="356" t="e">
        <f>-IF(OR((C38/M38)&gt;3,(C38/M38)&lt;-3),"n.m.",(C38/M38))</f>
        <v>#REF!</v>
      </c>
      <c r="E38" s="502"/>
      <c r="F38" s="505"/>
      <c r="G38" s="509"/>
      <c r="H38" s="509"/>
      <c r="I38" s="508" t="e">
        <f>+'4 Capital Markets Canada'!#REF!</f>
        <v>#REF!</v>
      </c>
      <c r="J38" s="509" t="e">
        <f>'4 Capital Markets Canada'!#REF!</f>
        <v>#REF!</v>
      </c>
      <c r="K38" s="509">
        <v>-588</v>
      </c>
      <c r="L38" s="509">
        <v>-561</v>
      </c>
      <c r="M38" s="508">
        <v>-550</v>
      </c>
      <c r="N38" s="509">
        <v>-613</v>
      </c>
      <c r="O38" s="509">
        <v>-561</v>
      </c>
      <c r="P38" s="509">
        <v>-550</v>
      </c>
      <c r="Q38" s="508">
        <v>-611</v>
      </c>
      <c r="R38" s="349">
        <v>-1374</v>
      </c>
      <c r="S38" s="509">
        <v>-1280</v>
      </c>
      <c r="T38" s="509">
        <v>-1398</v>
      </c>
      <c r="U38" s="508">
        <v>-1138</v>
      </c>
      <c r="V38" s="509">
        <v>-1366</v>
      </c>
      <c r="W38" s="509">
        <v>-1279</v>
      </c>
      <c r="X38" s="509">
        <v>-1344</v>
      </c>
      <c r="Y38" s="506">
        <v>-1206</v>
      </c>
      <c r="Z38" s="505"/>
      <c r="AA38" s="505"/>
      <c r="AB38" s="505"/>
      <c r="AC38" s="506"/>
      <c r="AD38" s="505"/>
      <c r="AE38" s="505"/>
      <c r="AF38" s="505"/>
      <c r="AG38" s="506"/>
      <c r="AH38" s="549"/>
      <c r="AI38" s="318"/>
      <c r="AJ38" s="318"/>
      <c r="AK38" s="319"/>
      <c r="AL38" s="318"/>
      <c r="AM38" s="505"/>
      <c r="AN38" s="506"/>
      <c r="AO38" s="505"/>
      <c r="AP38" s="505"/>
      <c r="AQ38" s="505"/>
      <c r="AR38" s="505"/>
      <c r="AS38" s="505"/>
      <c r="AT38" s="173"/>
      <c r="AU38" s="283">
        <f>+SUM(K38:M38)</f>
        <v>-1699</v>
      </c>
      <c r="AV38" s="509">
        <f>U38+T38</f>
        <v>-2536</v>
      </c>
      <c r="AW38" s="512" t="e">
        <f t="shared" si="12"/>
        <v>#REF!</v>
      </c>
      <c r="AX38" s="503" t="e">
        <f>IF(OR((AW38/BA38)&gt;3,(AW38/BA38)&lt;-3),"n.m.",(AW38/BA38))</f>
        <v>#REF!</v>
      </c>
      <c r="AY38" s="172"/>
      <c r="AZ38" s="349" t="e">
        <f>+'4 Capital Markets Canada'!#REF!</f>
        <v>#REF!</v>
      </c>
      <c r="BA38" s="511">
        <f>+SUM(N38:Q38)</f>
        <v>-2335</v>
      </c>
      <c r="BB38" s="511"/>
      <c r="BC38" s="511"/>
      <c r="BD38" s="511"/>
      <c r="BE38" s="511">
        <v>-3141</v>
      </c>
      <c r="BF38" s="319" t="s">
        <v>177</v>
      </c>
      <c r="BG38" s="319"/>
      <c r="BH38" s="319"/>
      <c r="BI38" s="333"/>
      <c r="BJ38" s="333"/>
      <c r="BK38" s="183"/>
      <c r="BL38" s="331"/>
      <c r="BM38" s="331"/>
      <c r="BN38" s="331"/>
      <c r="BO38" s="331"/>
    </row>
    <row r="39" spans="1:69" s="140" customFormat="1" ht="12.75" hidden="1" customHeight="1" outlineLevel="1" x14ac:dyDescent="0.2">
      <c r="A39" s="548"/>
      <c r="B39" s="552" t="s">
        <v>340</v>
      </c>
      <c r="C39" s="270" t="e">
        <f t="shared" si="10"/>
        <v>#REF!</v>
      </c>
      <c r="D39" s="815">
        <v>0</v>
      </c>
      <c r="E39" s="502"/>
      <c r="F39" s="845"/>
      <c r="G39" s="846"/>
      <c r="H39" s="846"/>
      <c r="I39" s="847" t="e">
        <f>+'4 Capital Markets Canada'!#REF!</f>
        <v>#REF!</v>
      </c>
      <c r="J39" s="845"/>
      <c r="K39" s="846">
        <v>0</v>
      </c>
      <c r="L39" s="846">
        <v>0</v>
      </c>
      <c r="M39" s="847">
        <v>0</v>
      </c>
      <c r="N39" s="845">
        <v>0</v>
      </c>
      <c r="O39" s="845">
        <v>0</v>
      </c>
      <c r="P39" s="846">
        <v>0</v>
      </c>
      <c r="Q39" s="847">
        <v>0</v>
      </c>
      <c r="R39" s="782">
        <v>800</v>
      </c>
      <c r="S39" s="532">
        <v>753</v>
      </c>
      <c r="T39" s="532">
        <v>809</v>
      </c>
      <c r="U39" s="564">
        <v>860</v>
      </c>
      <c r="V39" s="532">
        <v>898</v>
      </c>
      <c r="W39" s="532">
        <v>838</v>
      </c>
      <c r="X39" s="532">
        <v>882</v>
      </c>
      <c r="Y39" s="506">
        <v>921</v>
      </c>
      <c r="Z39" s="505"/>
      <c r="AA39" s="505"/>
      <c r="AB39" s="505"/>
      <c r="AC39" s="506"/>
      <c r="AD39" s="505"/>
      <c r="AE39" s="505"/>
      <c r="AF39" s="505"/>
      <c r="AG39" s="506"/>
      <c r="AH39" s="549"/>
      <c r="AI39" s="318"/>
      <c r="AJ39" s="318"/>
      <c r="AK39" s="319"/>
      <c r="AL39" s="318"/>
      <c r="AM39" s="505"/>
      <c r="AN39" s="506"/>
      <c r="AO39" s="505"/>
      <c r="AP39" s="505"/>
      <c r="AQ39" s="505"/>
      <c r="AR39" s="505"/>
      <c r="AS39" s="505"/>
      <c r="AT39" s="173"/>
      <c r="AU39" s="283">
        <f>+SUM(K39:M39)</f>
        <v>0</v>
      </c>
      <c r="AV39" s="169">
        <f>U39+T39</f>
        <v>1669</v>
      </c>
      <c r="AW39" s="103" t="e">
        <f t="shared" si="12"/>
        <v>#REF!</v>
      </c>
      <c r="AX39" s="95" t="e">
        <f>IF(OR((AW39/BA39)&gt;3,(AW39/BA39)&lt;-3),"n.m.",(AW39/BA39))</f>
        <v>#REF!</v>
      </c>
      <c r="AY39" s="134"/>
      <c r="AZ39" s="670" t="e">
        <f>+'4 Capital Markets Canada'!#REF!</f>
        <v>#REF!</v>
      </c>
      <c r="BA39" s="858">
        <f>+SUM(N39:Q39)</f>
        <v>0</v>
      </c>
      <c r="BB39" s="137"/>
      <c r="BC39" s="137"/>
      <c r="BD39" s="137"/>
      <c r="BE39" s="137">
        <v>3117</v>
      </c>
      <c r="BF39" s="550" t="s">
        <v>177</v>
      </c>
      <c r="BG39" s="550"/>
      <c r="BH39" s="550"/>
      <c r="BI39" s="551"/>
      <c r="BJ39" s="551"/>
      <c r="BK39" s="183"/>
      <c r="BL39" s="331"/>
      <c r="BM39" s="331"/>
      <c r="BN39" s="331"/>
      <c r="BO39" s="331"/>
    </row>
    <row r="40" spans="1:69" s="680" customFormat="1" ht="12.75" customHeight="1" collapsed="1" thickTop="1" x14ac:dyDescent="0.2">
      <c r="A40" s="859"/>
      <c r="B40" s="681" t="s">
        <v>351</v>
      </c>
      <c r="C40" s="651" t="e">
        <f t="shared" si="10"/>
        <v>#REF!</v>
      </c>
      <c r="D40" s="661" t="e">
        <f>IF(OR((C40/M40)&gt;3,(C40/M40)&lt;-3),"n.m.",(C40/M40))</f>
        <v>#REF!</v>
      </c>
      <c r="E40" s="629"/>
      <c r="F40" s="809"/>
      <c r="G40" s="809"/>
      <c r="H40" s="809"/>
      <c r="I40" s="827" t="e">
        <f>SUM(I36:I39)</f>
        <v>#REF!</v>
      </c>
      <c r="J40" s="809" t="e">
        <f>+'4 Capital Markets Canada'!#REF!+'5 CG - US'!N32</f>
        <v>#REF!</v>
      </c>
      <c r="K40" s="809" t="e">
        <f>+'4 Capital Markets Canada'!#REF!+'5 CG - US'!O32</f>
        <v>#REF!</v>
      </c>
      <c r="L40" s="809" t="e">
        <f>+'4 Capital Markets Canada'!#REF!+'5 CG - US'!P32</f>
        <v>#REF!</v>
      </c>
      <c r="M40" s="827" t="e">
        <f>+'4 Capital Markets Canada'!#REF!+'5 CG - US'!Q32</f>
        <v>#REF!</v>
      </c>
      <c r="N40" s="809" t="e">
        <f>+'4 Capital Markets Canada'!#REF!+'5 CG - US'!R32</f>
        <v>#REF!</v>
      </c>
      <c r="O40" s="809" t="e">
        <f>+'4 Capital Markets Canada'!#REF!+'5 CG - US'!S32</f>
        <v>#REF!</v>
      </c>
      <c r="P40" s="809" t="e">
        <f>+'4 Capital Markets Canada'!#REF!+'5 CG - US'!T32</f>
        <v>#REF!</v>
      </c>
      <c r="Q40" s="809" t="e">
        <f>+'4 Capital Markets Canada'!#REF!+'5 CG - US'!U32</f>
        <v>#REF!</v>
      </c>
      <c r="R40" s="809" t="e">
        <f>+'4 Capital Markets Canada'!#REF!+'5 CG - US'!V32</f>
        <v>#REF!</v>
      </c>
      <c r="S40" s="809" t="e">
        <f>+'4 Capital Markets Canada'!#REF!+'5 CG - US'!W32</f>
        <v>#REF!</v>
      </c>
      <c r="T40" s="809">
        <v>2518</v>
      </c>
      <c r="U40" s="793">
        <v>2914</v>
      </c>
      <c r="V40" s="784">
        <v>3107</v>
      </c>
      <c r="W40" s="784">
        <v>2615</v>
      </c>
      <c r="X40" s="809">
        <v>3104</v>
      </c>
      <c r="Y40" s="793" t="e">
        <f>+'3 Canaccord Genuity '!#REF!</f>
        <v>#REF!</v>
      </c>
      <c r="Z40" s="828">
        <v>1560</v>
      </c>
      <c r="AA40" s="784">
        <v>1796</v>
      </c>
      <c r="AB40" s="828">
        <v>1873</v>
      </c>
      <c r="AC40" s="793">
        <v>1741</v>
      </c>
      <c r="AD40" s="828">
        <v>1757</v>
      </c>
      <c r="AE40" s="784">
        <v>1483</v>
      </c>
      <c r="AF40" s="828">
        <v>1374</v>
      </c>
      <c r="AG40" s="793">
        <v>1459</v>
      </c>
      <c r="AH40" s="784">
        <v>2224</v>
      </c>
      <c r="AI40" s="784">
        <v>671</v>
      </c>
      <c r="AJ40" s="784">
        <v>2365</v>
      </c>
      <c r="AK40" s="793">
        <v>1384</v>
      </c>
      <c r="AL40" s="784">
        <v>889</v>
      </c>
      <c r="AM40" s="829" t="s">
        <v>177</v>
      </c>
      <c r="AN40" s="830" t="s">
        <v>177</v>
      </c>
      <c r="AO40" s="829"/>
      <c r="AP40" s="829"/>
      <c r="AQ40" s="829"/>
      <c r="AR40" s="829"/>
      <c r="AS40" s="829"/>
      <c r="AT40" s="881"/>
      <c r="AU40" s="828" t="e">
        <f>SUM(K40:M40)</f>
        <v>#REF!</v>
      </c>
      <c r="AV40" s="828" t="e">
        <f>SUM(O40:Q40)</f>
        <v>#REF!</v>
      </c>
      <c r="AW40" s="509" t="e">
        <f t="shared" si="12"/>
        <v>#REF!</v>
      </c>
      <c r="AX40" s="661" t="e">
        <f>IF(OR((AW40/BA40)&gt;3,(AW40/BA40)&lt;-3),"n.m.",(AW40/BA40))</f>
        <v>#REF!</v>
      </c>
      <c r="AY40" s="682"/>
      <c r="AZ40" s="637" t="e">
        <f>+SUM(J40:M40)</f>
        <v>#REF!</v>
      </c>
      <c r="BA40" s="637" t="e">
        <f>+SUM(N40:Q40)</f>
        <v>#REF!</v>
      </c>
      <c r="BB40" s="637" t="e">
        <f>+'4 Capital Markets Canada'!#REF!+'5 CG - US'!BG32</f>
        <v>#REF!</v>
      </c>
      <c r="BC40" s="637" t="e">
        <f>+'4 Capital Markets Canada'!#REF!+'5 CG - US'!BH32</f>
        <v>#REF!</v>
      </c>
      <c r="BD40" s="637" t="e">
        <f>+'4 Capital Markets Canada'!#REF!+'5 CG - US'!BI32</f>
        <v>#REF!</v>
      </c>
      <c r="BE40" s="637">
        <v>9573</v>
      </c>
      <c r="BF40" s="814" t="s">
        <v>177</v>
      </c>
      <c r="BG40" s="650">
        <v>2661</v>
      </c>
      <c r="BH40" s="650">
        <v>2823</v>
      </c>
      <c r="BI40" s="683">
        <v>2501</v>
      </c>
      <c r="BJ40" s="647">
        <v>3033</v>
      </c>
      <c r="BK40" s="658"/>
      <c r="BL40" s="679"/>
      <c r="BN40" s="679"/>
      <c r="BO40" s="679"/>
      <c r="BP40" s="679"/>
      <c r="BQ40" s="679"/>
    </row>
    <row r="41" spans="1:69" s="680" customFormat="1" ht="13.5" thickBot="1" x14ac:dyDescent="0.25">
      <c r="A41" s="2473" t="s">
        <v>74</v>
      </c>
      <c r="B41" s="2475"/>
      <c r="C41" s="684" t="e">
        <f t="shared" si="10"/>
        <v>#REF!</v>
      </c>
      <c r="D41" s="785" t="e">
        <f>IF(OR((C41/M41)&gt;3,(C41/M41)&lt;-3),"n.m.",(C41/M41))</f>
        <v>#REF!</v>
      </c>
      <c r="E41" s="629"/>
      <c r="F41" s="831"/>
      <c r="G41" s="831"/>
      <c r="H41" s="831"/>
      <c r="I41" s="832" t="e">
        <f>I35-I40</f>
        <v>#REF!</v>
      </c>
      <c r="J41" s="831" t="e">
        <f t="shared" ref="J41:S41" si="15">J35-J40</f>
        <v>#REF!</v>
      </c>
      <c r="K41" s="831" t="e">
        <f t="shared" si="15"/>
        <v>#REF!</v>
      </c>
      <c r="L41" s="831" t="e">
        <f t="shared" si="15"/>
        <v>#REF!</v>
      </c>
      <c r="M41" s="832" t="e">
        <f t="shared" si="15"/>
        <v>#REF!</v>
      </c>
      <c r="N41" s="831" t="e">
        <f t="shared" si="15"/>
        <v>#REF!</v>
      </c>
      <c r="O41" s="831" t="e">
        <f t="shared" si="15"/>
        <v>#REF!</v>
      </c>
      <c r="P41" s="831" t="e">
        <f t="shared" si="15"/>
        <v>#REF!</v>
      </c>
      <c r="Q41" s="832" t="e">
        <f t="shared" si="15"/>
        <v>#REF!</v>
      </c>
      <c r="R41" s="831" t="e">
        <f t="shared" si="15"/>
        <v>#REF!</v>
      </c>
      <c r="S41" s="831" t="e">
        <f t="shared" si="15"/>
        <v>#REF!</v>
      </c>
      <c r="T41" s="831">
        <v>-2914</v>
      </c>
      <c r="U41" s="832">
        <v>1090</v>
      </c>
      <c r="V41" s="831">
        <v>8938</v>
      </c>
      <c r="W41" s="831">
        <v>11184</v>
      </c>
      <c r="X41" s="831">
        <v>2292</v>
      </c>
      <c r="Y41" s="832" t="e">
        <f t="shared" ref="Y41:AL41" si="16">Y35-Y40</f>
        <v>#REF!</v>
      </c>
      <c r="Z41" s="831">
        <f t="shared" si="16"/>
        <v>36801</v>
      </c>
      <c r="AA41" s="831">
        <f t="shared" si="16"/>
        <v>45665</v>
      </c>
      <c r="AB41" s="831">
        <f t="shared" si="16"/>
        <v>13619</v>
      </c>
      <c r="AC41" s="832">
        <f t="shared" si="16"/>
        <v>7176</v>
      </c>
      <c r="AD41" s="831">
        <f t="shared" si="16"/>
        <v>3356</v>
      </c>
      <c r="AE41" s="831">
        <f t="shared" si="16"/>
        <v>18635</v>
      </c>
      <c r="AF41" s="831">
        <f t="shared" si="16"/>
        <v>6460</v>
      </c>
      <c r="AG41" s="832">
        <f t="shared" si="16"/>
        <v>6408</v>
      </c>
      <c r="AH41" s="831">
        <f t="shared" si="16"/>
        <v>7026</v>
      </c>
      <c r="AI41" s="831">
        <f t="shared" si="16"/>
        <v>-9629</v>
      </c>
      <c r="AJ41" s="831">
        <f t="shared" si="16"/>
        <v>457</v>
      </c>
      <c r="AK41" s="832">
        <f t="shared" si="16"/>
        <v>5397</v>
      </c>
      <c r="AL41" s="831">
        <f t="shared" si="16"/>
        <v>6908</v>
      </c>
      <c r="AM41" s="833" t="s">
        <v>177</v>
      </c>
      <c r="AN41" s="834" t="s">
        <v>177</v>
      </c>
      <c r="AO41" s="833"/>
      <c r="AP41" s="833"/>
      <c r="AQ41" s="833"/>
      <c r="AR41" s="833"/>
      <c r="AS41" s="833"/>
      <c r="AT41" s="881"/>
      <c r="AU41" s="831" t="e">
        <f>AU35-AU40</f>
        <v>#REF!</v>
      </c>
      <c r="AV41" s="831" t="e">
        <f>AV35-AV40</f>
        <v>#REF!</v>
      </c>
      <c r="AW41" s="443" t="e">
        <f t="shared" si="12"/>
        <v>#REF!</v>
      </c>
      <c r="AX41" s="785" t="e">
        <f>IF(OR((AW41/BA41)&gt;3,(AW41/BA41)&lt;-3),"n.m.",(AW41/BA41))</f>
        <v>#REF!</v>
      </c>
      <c r="AY41" s="682"/>
      <c r="AZ41" s="686" t="e">
        <f>AZ35-AZ40</f>
        <v>#REF!</v>
      </c>
      <c r="BA41" s="686" t="e">
        <f>BA35-BA40</f>
        <v>#REF!</v>
      </c>
      <c r="BB41" s="686" t="e">
        <f>BB35-BB40</f>
        <v>#REF!</v>
      </c>
      <c r="BC41" s="686" t="e">
        <f>BC35-BC40</f>
        <v>#REF!</v>
      </c>
      <c r="BD41" s="686" t="e">
        <f>BD35-BD40</f>
        <v>#REF!</v>
      </c>
      <c r="BE41" s="686">
        <v>38357</v>
      </c>
      <c r="BF41" s="686">
        <v>11596</v>
      </c>
      <c r="BG41" s="685">
        <f>BG35-BG40</f>
        <v>53856</v>
      </c>
      <c r="BH41" s="685">
        <f>BH35-BH40</f>
        <v>59568</v>
      </c>
      <c r="BI41" s="687">
        <f>BI35-BI40</f>
        <v>42484</v>
      </c>
      <c r="BJ41" s="642">
        <f>BJ35-BJ40</f>
        <v>25091</v>
      </c>
      <c r="BK41" s="658"/>
      <c r="BL41" s="679"/>
      <c r="BN41" s="679"/>
      <c r="BO41" s="679"/>
      <c r="BP41" s="679"/>
      <c r="BQ41" s="679"/>
    </row>
    <row r="42" spans="1:69" ht="12.75" customHeight="1" thickTop="1" x14ac:dyDescent="0.2">
      <c r="A42" s="669"/>
      <c r="B42" s="669"/>
      <c r="C42" s="658"/>
      <c r="D42" s="688"/>
      <c r="E42" s="688"/>
      <c r="F42" s="688"/>
      <c r="G42" s="689"/>
      <c r="H42" s="689"/>
      <c r="I42" s="623"/>
      <c r="J42" s="688"/>
      <c r="K42" s="689"/>
      <c r="L42" s="689"/>
      <c r="M42" s="623"/>
      <c r="N42" s="688"/>
      <c r="O42" s="689"/>
      <c r="P42" s="689"/>
      <c r="Q42" s="623"/>
      <c r="R42" s="688"/>
      <c r="S42" s="689"/>
      <c r="T42" s="689"/>
      <c r="U42" s="623"/>
      <c r="V42" s="688"/>
      <c r="W42" s="688"/>
      <c r="X42" s="689"/>
      <c r="Y42" s="623"/>
      <c r="Z42" s="688"/>
      <c r="AA42" s="688"/>
      <c r="AB42" s="688"/>
      <c r="AC42" s="623"/>
      <c r="AD42" s="688"/>
      <c r="AE42" s="688"/>
      <c r="AF42" s="688"/>
      <c r="AG42" s="623"/>
      <c r="AH42" s="688"/>
      <c r="AI42" s="688"/>
      <c r="AJ42" s="688"/>
      <c r="AK42" s="623"/>
      <c r="AL42" s="624"/>
      <c r="AM42" s="624"/>
      <c r="AN42" s="624"/>
      <c r="AO42" s="624"/>
      <c r="AP42" s="690"/>
      <c r="AQ42" s="690"/>
      <c r="AR42" s="690"/>
      <c r="AS42" s="690"/>
      <c r="AT42" s="623"/>
      <c r="AU42" s="623"/>
      <c r="AV42" s="623"/>
      <c r="AW42" s="636"/>
      <c r="AX42" s="688"/>
      <c r="AY42" s="623"/>
      <c r="AZ42" s="623"/>
      <c r="BA42" s="623"/>
      <c r="BB42" s="623"/>
      <c r="BC42" s="623"/>
      <c r="BD42" s="623"/>
      <c r="BE42" s="623"/>
      <c r="BF42" s="623"/>
      <c r="BG42" s="658"/>
      <c r="BH42" s="658"/>
      <c r="BI42" s="658"/>
      <c r="BJ42" s="658"/>
      <c r="BK42" s="658"/>
      <c r="BL42" s="580"/>
      <c r="BN42" s="580"/>
      <c r="BO42" s="580"/>
      <c r="BP42" s="580"/>
      <c r="BQ42" s="580"/>
    </row>
    <row r="43" spans="1:69" ht="12.75" customHeight="1" x14ac:dyDescent="0.2">
      <c r="A43" s="669" t="s">
        <v>306</v>
      </c>
      <c r="B43" s="669"/>
      <c r="C43" s="691">
        <f t="shared" ref="C43:C50" si="17">(I43-M43)*100</f>
        <v>-3.7606786099738554</v>
      </c>
      <c r="D43" s="688"/>
      <c r="E43" s="688"/>
      <c r="F43" s="692"/>
      <c r="G43" s="692"/>
      <c r="H43" s="692"/>
      <c r="I43" s="692">
        <f>+I17/I$15</f>
        <v>0.40932095925306639</v>
      </c>
      <c r="J43" s="692">
        <f t="shared" ref="J43:S44" si="18">+J17/J$15</f>
        <v>0.4584426612726249</v>
      </c>
      <c r="K43" s="692">
        <f t="shared" si="18"/>
        <v>0.42616770998142672</v>
      </c>
      <c r="L43" s="692">
        <f t="shared" si="18"/>
        <v>0.44602977667493798</v>
      </c>
      <c r="M43" s="692">
        <f t="shared" si="18"/>
        <v>0.44692774535280494</v>
      </c>
      <c r="N43" s="692">
        <f t="shared" si="18"/>
        <v>0.4287326161112569</v>
      </c>
      <c r="O43" s="692">
        <f t="shared" si="18"/>
        <v>0.45369170984455959</v>
      </c>
      <c r="P43" s="692">
        <f t="shared" si="18"/>
        <v>0.43712797619047616</v>
      </c>
      <c r="Q43" s="692">
        <f t="shared" si="18"/>
        <v>0.40047523091796444</v>
      </c>
      <c r="R43" s="692">
        <f t="shared" si="18"/>
        <v>0.47230935110762595</v>
      </c>
      <c r="S43" s="692">
        <f t="shared" si="18"/>
        <v>0.44770729056180364</v>
      </c>
      <c r="T43" s="692">
        <v>0.39509098603470166</v>
      </c>
      <c r="U43" s="692">
        <v>0.38086683134965194</v>
      </c>
      <c r="V43" s="692">
        <v>0.42531617046446779</v>
      </c>
      <c r="W43" s="692">
        <v>0.41185767974430121</v>
      </c>
      <c r="X43" s="692">
        <v>0.40003765503283051</v>
      </c>
      <c r="Y43" s="692">
        <f t="shared" ref="Y43:AB44" si="19">+Y17/Y$15</f>
        <v>0.47189939709376566</v>
      </c>
      <c r="Z43" s="692">
        <f t="shared" si="19"/>
        <v>0.48563724162830579</v>
      </c>
      <c r="AA43" s="692">
        <f t="shared" si="19"/>
        <v>0.43493839347738655</v>
      </c>
      <c r="AB43" s="692">
        <f t="shared" si="19"/>
        <v>0.41539602075777915</v>
      </c>
      <c r="AC43" s="692"/>
      <c r="AD43" s="692"/>
      <c r="AE43" s="692"/>
      <c r="AF43" s="692"/>
      <c r="AG43" s="692"/>
      <c r="AH43" s="692"/>
      <c r="AI43" s="692"/>
      <c r="AJ43" s="692"/>
      <c r="AK43" s="692"/>
      <c r="AL43" s="692"/>
      <c r="AM43" s="692"/>
      <c r="AN43" s="692"/>
      <c r="AO43" s="692"/>
      <c r="AP43" s="692"/>
      <c r="AQ43" s="692"/>
      <c r="AR43" s="692"/>
      <c r="AS43" s="692"/>
      <c r="AT43" s="692"/>
      <c r="AU43" s="692">
        <f>+AU17/AU$15</f>
        <v>0.44161849710982659</v>
      </c>
      <c r="AV43" s="692">
        <f>+AV17/AV$15</f>
        <v>0.43049200339890453</v>
      </c>
      <c r="AW43" s="691">
        <f t="shared" ref="AW43:AW50" si="20">(AZ43-BA43)*100</f>
        <v>1.6004080434870616</v>
      </c>
      <c r="AX43" s="688"/>
      <c r="AY43" s="623"/>
      <c r="AZ43" s="692">
        <f t="shared" ref="AZ43:BE44" si="21">+AZ17/AZ$15</f>
        <v>0.44594498438255264</v>
      </c>
      <c r="BA43" s="692">
        <f t="shared" si="21"/>
        <v>0.42994090394768203</v>
      </c>
      <c r="BB43" s="692">
        <f t="shared" si="21"/>
        <v>0.45996835266094854</v>
      </c>
      <c r="BC43" s="692">
        <f t="shared" si="21"/>
        <v>0.45453699902499101</v>
      </c>
      <c r="BD43" s="692">
        <f t="shared" si="21"/>
        <v>0.4532096353141955</v>
      </c>
      <c r="BE43" s="692">
        <f t="shared" si="21"/>
        <v>0.48791255821287188</v>
      </c>
      <c r="BF43" s="692">
        <v>0.51352055352055348</v>
      </c>
      <c r="BG43" s="692">
        <f>+BG17/BG$15</f>
        <v>0.49947071976451274</v>
      </c>
      <c r="BH43" s="658"/>
      <c r="BI43" s="658"/>
      <c r="BJ43" s="658"/>
      <c r="BK43" s="658"/>
      <c r="BL43" s="580"/>
      <c r="BN43" s="580"/>
      <c r="BO43" s="580"/>
      <c r="BP43" s="580"/>
      <c r="BQ43" s="580"/>
    </row>
    <row r="44" spans="1:69" ht="12.75" customHeight="1" x14ac:dyDescent="0.2">
      <c r="A44" s="669" t="s">
        <v>352</v>
      </c>
      <c r="B44" s="669"/>
      <c r="C44" s="691">
        <f t="shared" si="17"/>
        <v>2.553288742430424</v>
      </c>
      <c r="D44" s="688"/>
      <c r="E44" s="688"/>
      <c r="F44" s="692"/>
      <c r="G44" s="692"/>
      <c r="H44" s="692"/>
      <c r="I44" s="692">
        <f>+I18/I$15</f>
        <v>6.9800585786266564E-2</v>
      </c>
      <c r="J44" s="692">
        <f t="shared" si="18"/>
        <v>7.3458833856517219E-2</v>
      </c>
      <c r="K44" s="692">
        <f t="shared" si="18"/>
        <v>8.9468253422301719E-2</v>
      </c>
      <c r="L44" s="692">
        <f t="shared" si="18"/>
        <v>5.3559699313968763E-2</v>
      </c>
      <c r="M44" s="692">
        <f t="shared" si="18"/>
        <v>4.4267698361962322E-2</v>
      </c>
      <c r="N44" s="692">
        <f t="shared" si="18"/>
        <v>4.8394996938686256E-2</v>
      </c>
      <c r="O44" s="692">
        <f t="shared" si="18"/>
        <v>5.5520814722172594E-2</v>
      </c>
      <c r="P44" s="692">
        <f t="shared" si="18"/>
        <v>7.8297725340136057E-2</v>
      </c>
      <c r="Q44" s="692">
        <f t="shared" si="18"/>
        <v>6.9409339219363334E-2</v>
      </c>
      <c r="R44" s="692">
        <f t="shared" si="18"/>
        <v>4.4706920211723192E-2</v>
      </c>
      <c r="S44" s="692">
        <f t="shared" si="18"/>
        <v>3.443227938533823E-2</v>
      </c>
      <c r="T44" s="692">
        <v>0.15426717449569757</v>
      </c>
      <c r="U44" s="692">
        <v>9.8529081518077696E-2</v>
      </c>
      <c r="V44" s="692">
        <v>8.8429146832662023E-2</v>
      </c>
      <c r="W44" s="692">
        <v>5.7145867725053562E-2</v>
      </c>
      <c r="X44" s="692">
        <v>7.4556965004353867E-2</v>
      </c>
      <c r="Y44" s="692">
        <f t="shared" si="19"/>
        <v>-5.4407034444857519E-2</v>
      </c>
      <c r="Z44" s="692">
        <f t="shared" si="19"/>
        <v>-4.2196949183139272E-2</v>
      </c>
      <c r="AA44" s="692">
        <f t="shared" si="19"/>
        <v>5.4659793060582796E-3</v>
      </c>
      <c r="AB44" s="692">
        <f t="shared" si="19"/>
        <v>3.5664910136448333E-2</v>
      </c>
      <c r="AC44" s="692"/>
      <c r="AD44" s="692"/>
      <c r="AE44" s="692"/>
      <c r="AF44" s="692"/>
      <c r="AG44" s="692"/>
      <c r="AH44" s="692"/>
      <c r="AI44" s="692"/>
      <c r="AJ44" s="692"/>
      <c r="AK44" s="692"/>
      <c r="AL44" s="692"/>
      <c r="AM44" s="692"/>
      <c r="AN44" s="692"/>
      <c r="AO44" s="692"/>
      <c r="AP44" s="692"/>
      <c r="AQ44" s="692"/>
      <c r="AR44" s="692"/>
      <c r="AS44" s="692"/>
      <c r="AT44" s="692"/>
      <c r="AU44" s="692">
        <f>+AU18/AU$15</f>
        <v>5.8483897605284892E-2</v>
      </c>
      <c r="AV44" s="692">
        <f>+AV18/AV$15</f>
        <v>6.71163965229047E-2</v>
      </c>
      <c r="AW44" s="691">
        <f t="shared" si="20"/>
        <v>0.10826164443585862</v>
      </c>
      <c r="AX44" s="688"/>
      <c r="AY44" s="623"/>
      <c r="AZ44" s="692">
        <f t="shared" si="21"/>
        <v>6.2334839053187652E-2</v>
      </c>
      <c r="BA44" s="692">
        <f t="shared" si="21"/>
        <v>6.1252222608829066E-2</v>
      </c>
      <c r="BB44" s="692">
        <f t="shared" si="21"/>
        <v>5.2855529338089756E-2</v>
      </c>
      <c r="BC44" s="692">
        <f t="shared" si="21"/>
        <v>4.4189716221070457E-2</v>
      </c>
      <c r="BD44" s="692">
        <f t="shared" si="21"/>
        <v>3.8989159934253574E-3</v>
      </c>
      <c r="BE44" s="692">
        <f t="shared" si="21"/>
        <v>3.654107139840411E-2</v>
      </c>
      <c r="BF44" s="692">
        <v>3.2047212047212045E-2</v>
      </c>
      <c r="BG44" s="692">
        <f>+BG18/BG$15</f>
        <v>-1.4321700489654976E-3</v>
      </c>
      <c r="BH44" s="658"/>
      <c r="BI44" s="658"/>
      <c r="BJ44" s="658"/>
      <c r="BK44" s="658"/>
      <c r="BL44" s="580"/>
      <c r="BN44" s="580"/>
      <c r="BO44" s="580"/>
      <c r="BP44" s="580"/>
      <c r="BQ44" s="580"/>
    </row>
    <row r="45" spans="1:69" ht="12.75" customHeight="1" x14ac:dyDescent="0.2">
      <c r="A45" s="693" t="s">
        <v>76</v>
      </c>
      <c r="B45" s="694"/>
      <c r="C45" s="691">
        <f t="shared" si="17"/>
        <v>-1.2073898675434291</v>
      </c>
      <c r="D45" s="688"/>
      <c r="E45" s="688"/>
      <c r="F45" s="692"/>
      <c r="G45" s="692"/>
      <c r="H45" s="692"/>
      <c r="I45" s="692">
        <f>I19/I15</f>
        <v>0.47912154503933296</v>
      </c>
      <c r="J45" s="692">
        <f t="shared" ref="J45:S45" si="22">J19/J15</f>
        <v>0.53190149512914209</v>
      </c>
      <c r="K45" s="692">
        <f t="shared" si="22"/>
        <v>0.51563596340372841</v>
      </c>
      <c r="L45" s="692">
        <f t="shared" si="22"/>
        <v>0.49958947598890674</v>
      </c>
      <c r="M45" s="692">
        <f t="shared" si="22"/>
        <v>0.49119544371476725</v>
      </c>
      <c r="N45" s="692">
        <f t="shared" si="22"/>
        <v>0.47712761304994317</v>
      </c>
      <c r="O45" s="692">
        <f t="shared" si="22"/>
        <v>0.50921252456673216</v>
      </c>
      <c r="P45" s="692">
        <f t="shared" si="22"/>
        <v>0.51542570153061229</v>
      </c>
      <c r="Q45" s="692">
        <f t="shared" si="22"/>
        <v>0.46988457013732776</v>
      </c>
      <c r="R45" s="692">
        <f t="shared" si="22"/>
        <v>0.51701627131934913</v>
      </c>
      <c r="S45" s="692">
        <f t="shared" si="22"/>
        <v>0.48213956994714191</v>
      </c>
      <c r="T45" s="692">
        <v>0.54935816053039921</v>
      </c>
      <c r="U45" s="692">
        <v>0.47939591286772965</v>
      </c>
      <c r="V45" s="692">
        <v>0.5137453172971298</v>
      </c>
      <c r="W45" s="692">
        <v>0.4690035474693548</v>
      </c>
      <c r="X45" s="692">
        <v>0.47459462003718433</v>
      </c>
      <c r="Y45" s="692">
        <f>Y19/Y15</f>
        <v>0.41749236264890816</v>
      </c>
      <c r="Z45" s="692">
        <f>Z19/Z15</f>
        <v>0.44344029244516653</v>
      </c>
      <c r="AA45" s="692">
        <f>AA19/AA15</f>
        <v>0.44040437278344485</v>
      </c>
      <c r="AB45" s="692">
        <f>AB19/AB15</f>
        <v>0.4510609308942275</v>
      </c>
      <c r="AC45" s="692">
        <f>AC19/AC15</f>
        <v>0.42422300544697211</v>
      </c>
      <c r="AD45" s="692">
        <v>0.51723611026220895</v>
      </c>
      <c r="AE45" s="692">
        <v>0.53841046875272991</v>
      </c>
      <c r="AF45" s="692">
        <v>0.56449056603773584</v>
      </c>
      <c r="AG45" s="692">
        <v>0.57280228921275034</v>
      </c>
      <c r="AH45" s="692">
        <f>AH19/AH15</f>
        <v>0.49418767227260019</v>
      </c>
      <c r="AI45" s="692">
        <f>AI19/AI15</f>
        <v>0.81422580900387687</v>
      </c>
      <c r="AJ45" s="692">
        <f>AJ19/AJ15</f>
        <v>0.56382933378798861</v>
      </c>
      <c r="AK45" s="692">
        <f>AK19/AK15</f>
        <v>0.55557172799254773</v>
      </c>
      <c r="AL45" s="692">
        <f>AL19/AL15</f>
        <v>0.51684197345354366</v>
      </c>
      <c r="AM45" s="695">
        <v>0.52900000000000003</v>
      </c>
      <c r="AN45" s="695">
        <v>0.47399999999999998</v>
      </c>
      <c r="AO45" s="695">
        <v>0.49199999999999999</v>
      </c>
      <c r="AP45" s="695">
        <v>0.54400000000000004</v>
      </c>
      <c r="AQ45" s="695">
        <v>0.50800000000000001</v>
      </c>
      <c r="AR45" s="695">
        <v>0.48699999999999999</v>
      </c>
      <c r="AS45" s="695">
        <v>0.52700000000000002</v>
      </c>
      <c r="AT45" s="623"/>
      <c r="AU45" s="692">
        <f>AU19/AU15</f>
        <v>0.50010239471511153</v>
      </c>
      <c r="AV45" s="692">
        <f>AV19/AV15</f>
        <v>0.49760839992180922</v>
      </c>
      <c r="AW45" s="691">
        <f t="shared" si="20"/>
        <v>1.7086696879229202</v>
      </c>
      <c r="AX45" s="688"/>
      <c r="AY45" s="623"/>
      <c r="AZ45" s="692">
        <f t="shared" ref="AZ45:BE45" si="23">AZ19/AZ15</f>
        <v>0.5082798234357403</v>
      </c>
      <c r="BA45" s="692">
        <f t="shared" si="23"/>
        <v>0.49119312655651109</v>
      </c>
      <c r="BB45" s="692">
        <f t="shared" si="23"/>
        <v>0.51282388199903828</v>
      </c>
      <c r="BC45" s="692">
        <f t="shared" si="23"/>
        <v>0.49872671524606149</v>
      </c>
      <c r="BD45" s="692">
        <f t="shared" si="23"/>
        <v>0.45710855130762085</v>
      </c>
      <c r="BE45" s="692">
        <f t="shared" si="23"/>
        <v>0.52445362961127595</v>
      </c>
      <c r="BF45" s="695">
        <v>0.54556776556776554</v>
      </c>
      <c r="BG45" s="695">
        <f>BG19/BG15</f>
        <v>0.49803854971554723</v>
      </c>
      <c r="BH45" s="695">
        <f>BH19/BH15</f>
        <v>0.52591676352352823</v>
      </c>
      <c r="BI45" s="696">
        <f>BI19/BI15</f>
        <v>0.54668040140891871</v>
      </c>
      <c r="BJ45" s="696">
        <f>BJ19/BJ15</f>
        <v>0.49978547284923452</v>
      </c>
      <c r="BK45" s="696">
        <v>0.56799999999999995</v>
      </c>
      <c r="BL45" s="580"/>
      <c r="BN45" s="580"/>
      <c r="BO45" s="580"/>
      <c r="BP45" s="580"/>
      <c r="BQ45" s="580"/>
    </row>
    <row r="46" spans="1:69" ht="12.75" customHeight="1" x14ac:dyDescent="0.2">
      <c r="A46" s="490" t="s">
        <v>207</v>
      </c>
      <c r="B46" s="694"/>
      <c r="C46" s="691">
        <f t="shared" si="17"/>
        <v>-0.71128622740853631</v>
      </c>
      <c r="D46" s="688"/>
      <c r="E46" s="688"/>
      <c r="F46" s="692"/>
      <c r="G46" s="692"/>
      <c r="H46" s="692"/>
      <c r="I46" s="692">
        <f>(I19+I20)/I15</f>
        <v>0.51902683170427888</v>
      </c>
      <c r="J46" s="692">
        <f>(J19+J20)/J15</f>
        <v>0.5701050502351942</v>
      </c>
      <c r="K46" s="692">
        <f>(K19+K20)/K15</f>
        <v>0.5652748159867923</v>
      </c>
      <c r="L46" s="692">
        <f>(L19+L20)/L15</f>
        <v>0.53052474091373525</v>
      </c>
      <c r="M46" s="692">
        <f>(M19+M20)/M15</f>
        <v>0.52613969397836424</v>
      </c>
      <c r="N46" s="692">
        <f t="shared" ref="N46:S46" si="24">(N19+N20)/N15</f>
        <v>0.50767077757369017</v>
      </c>
      <c r="O46" s="692">
        <f t="shared" si="24"/>
        <v>0.55212613900303731</v>
      </c>
      <c r="P46" s="692">
        <f t="shared" si="24"/>
        <v>0.5638950892857143</v>
      </c>
      <c r="Q46" s="692">
        <f t="shared" si="24"/>
        <v>0.51378519096595343</v>
      </c>
      <c r="R46" s="692">
        <f t="shared" si="24"/>
        <v>0.56046853558125853</v>
      </c>
      <c r="S46" s="692">
        <f t="shared" si="24"/>
        <v>0.51356516098493155</v>
      </c>
      <c r="T46" s="692">
        <v>0.61201862039779942</v>
      </c>
      <c r="U46" s="692">
        <v>0.52815517628565012</v>
      </c>
      <c r="V46" s="692">
        <v>0.5337577106160043</v>
      </c>
      <c r="W46" s="692">
        <v>0.4920094130870008</v>
      </c>
      <c r="X46" s="692">
        <v>0.49499894095220165</v>
      </c>
      <c r="Y46" s="692">
        <f>(Y19+Y20)/Y15</f>
        <v>0.44765383807199316</v>
      </c>
      <c r="Z46" s="692">
        <f>(Z19+Z20)/Z15</f>
        <v>0.45171044318079251</v>
      </c>
      <c r="AA46" s="692">
        <f>(AA19+AA20)/AA15</f>
        <v>0.44890497605206392</v>
      </c>
      <c r="AB46" s="692">
        <f>(AB19+AB20)/AB15</f>
        <v>0.47221943937967098</v>
      </c>
      <c r="AC46" s="692">
        <f>(AC19+AC20)/AC15</f>
        <v>0.44572817912810753</v>
      </c>
      <c r="AD46" s="692">
        <v>0.53972862294480772</v>
      </c>
      <c r="AE46" s="692">
        <v>0.55773363383825147</v>
      </c>
      <c r="AF46" s="692">
        <v>0.58128301886792455</v>
      </c>
      <c r="AG46" s="692">
        <v>0.58840753310707394</v>
      </c>
      <c r="AH46" s="692">
        <f>(AH19+AH20)/AH15</f>
        <v>0.51472056884911921</v>
      </c>
      <c r="AI46" s="692">
        <f>(AI19+AI20)/AI15</f>
        <v>0.85655510720784878</v>
      </c>
      <c r="AJ46" s="692">
        <f>(AJ19+AJ20)/AJ15</f>
        <v>0.59400707557222621</v>
      </c>
      <c r="AK46" s="692">
        <f>(AK19+AK20)/AK15</f>
        <v>0.58284816022356778</v>
      </c>
      <c r="AL46" s="692">
        <f>(AL19+AL20)/AL15</f>
        <v>0.53471700475832706</v>
      </c>
      <c r="AM46" s="695">
        <v>0.55900000000000005</v>
      </c>
      <c r="AN46" s="695">
        <v>0.51</v>
      </c>
      <c r="AO46" s="695">
        <v>0.51700000000000002</v>
      </c>
      <c r="AP46" s="695">
        <v>0.56399999999999995</v>
      </c>
      <c r="AQ46" s="695">
        <v>0.53900000000000003</v>
      </c>
      <c r="AR46" s="695">
        <v>0.51100000000000001</v>
      </c>
      <c r="AS46" s="695">
        <v>0.55300000000000005</v>
      </c>
      <c r="AT46" s="623"/>
      <c r="AU46" s="692">
        <f>(AU19+AU20)/AU15</f>
        <v>0.53712303881090007</v>
      </c>
      <c r="AV46" s="692">
        <f>(AV19+AV20)/AV15</f>
        <v>0.54252819455138046</v>
      </c>
      <c r="AW46" s="691">
        <f t="shared" si="20"/>
        <v>1.399498824455836</v>
      </c>
      <c r="AX46" s="688"/>
      <c r="AY46" s="623"/>
      <c r="AZ46" s="692">
        <f t="shared" ref="AZ46:BE46" si="25">(AZ19+AZ20)/AZ15</f>
        <v>0.54560466388750528</v>
      </c>
      <c r="BA46" s="692">
        <f t="shared" si="25"/>
        <v>0.53160967564294692</v>
      </c>
      <c r="BB46" s="692">
        <f t="shared" si="25"/>
        <v>0.56003209465126425</v>
      </c>
      <c r="BC46" s="692">
        <f t="shared" si="25"/>
        <v>0.53091484066300609</v>
      </c>
      <c r="BD46" s="692">
        <f t="shared" si="25"/>
        <v>0.48112488448280905</v>
      </c>
      <c r="BE46" s="692">
        <f t="shared" si="25"/>
        <v>0.54969281623597122</v>
      </c>
      <c r="BF46" s="695">
        <v>0.58048026048026047</v>
      </c>
      <c r="BG46" s="695">
        <f>(BG19+BG20)/BG15</f>
        <v>0.51592086269848014</v>
      </c>
      <c r="BH46" s="695">
        <f>(BH19+BH20)/BH15</f>
        <v>0.53576417397980403</v>
      </c>
      <c r="BI46" s="696">
        <f>(BI19+BI20)/BI15</f>
        <v>0.56272346647172189</v>
      </c>
      <c r="BJ46" s="696">
        <f>(BJ19+BJ20)/BJ15</f>
        <v>0.56988875982377385</v>
      </c>
      <c r="BK46" s="696">
        <v>0.627</v>
      </c>
      <c r="BL46" s="580"/>
      <c r="BN46" s="580"/>
      <c r="BO46" s="580"/>
      <c r="BP46" s="580"/>
      <c r="BQ46" s="580"/>
    </row>
    <row r="47" spans="1:69" ht="12.75" customHeight="1" x14ac:dyDescent="0.2">
      <c r="A47" s="693" t="s">
        <v>77</v>
      </c>
      <c r="B47" s="694"/>
      <c r="C47" s="691">
        <f t="shared" si="17"/>
        <v>7.5759762947525013</v>
      </c>
      <c r="D47" s="688"/>
      <c r="E47" s="688"/>
      <c r="F47" s="692"/>
      <c r="G47" s="692"/>
      <c r="H47" s="692"/>
      <c r="I47" s="692">
        <f>(I22+I23+I24+I25+I26+I27+I28+I29+I30+I31+I32+I33)/I15</f>
        <v>0.34990068566170279</v>
      </c>
      <c r="J47" s="692">
        <f t="shared" ref="J47:S47" si="26">(J22+J23+J24+J25+J26+J27+J28+J29+J30+J31+J32+J33)/J15</f>
        <v>0.40555497247321265</v>
      </c>
      <c r="K47" s="692">
        <f t="shared" si="26"/>
        <v>0.48820251771342094</v>
      </c>
      <c r="L47" s="692">
        <f t="shared" si="26"/>
        <v>0.28328893592176324</v>
      </c>
      <c r="M47" s="692">
        <f t="shared" si="26"/>
        <v>0.27414092271417778</v>
      </c>
      <c r="N47" s="692">
        <f t="shared" si="26"/>
        <v>0.27386512726318551</v>
      </c>
      <c r="O47" s="692">
        <f t="shared" si="26"/>
        <v>0.32057352152939073</v>
      </c>
      <c r="P47" s="692">
        <f t="shared" si="26"/>
        <v>0.40941220238095238</v>
      </c>
      <c r="Q47" s="692">
        <f t="shared" si="26"/>
        <v>0.32882951090818024</v>
      </c>
      <c r="R47" s="692">
        <f t="shared" si="26"/>
        <v>0.23880611644775535</v>
      </c>
      <c r="S47" s="692">
        <f t="shared" si="26"/>
        <v>0.26436942820326265</v>
      </c>
      <c r="T47" s="692">
        <v>0.39915361828184509</v>
      </c>
      <c r="U47" s="692">
        <v>0.35944868627891308</v>
      </c>
      <c r="V47" s="692">
        <v>0.29660873728980647</v>
      </c>
      <c r="W47" s="692">
        <v>0.26565628183063467</v>
      </c>
      <c r="X47" s="692">
        <v>0.37800946082699866</v>
      </c>
      <c r="Y47" s="692" t="e">
        <f>(Y22+Y23+Y24+Y25+Y26+Y27+Y28+Y29+Y30+Y31+Y32+Y33)/Y15</f>
        <v>#REF!</v>
      </c>
      <c r="Z47" s="692">
        <f>(Z22+Z23+Z24+Z25+Z26+Z27+Z28+Z29+Z30+Z31+Z32+Z33)/Z15</f>
        <v>0.11547747991696002</v>
      </c>
      <c r="AA47" s="692">
        <f>(AA22+AA23+AA24+AA25+AA26+AA27+AA28+AA29+AA30+AA31+AA32+AA33)/AA15</f>
        <v>0.11728090380607656</v>
      </c>
      <c r="AB47" s="692">
        <f>(AB22+AB23+AB24+AB25+AB26+AB27+AB28+AB29+AB30+AB31+AB32+AB33)/AB15</f>
        <v>0.21737562363501572</v>
      </c>
      <c r="AC47" s="692">
        <f>(AC22+AC23+AC24+AC25+AC26+AC27+AC28+AC29+AC30+AC31+AC32+AC33)/AC15</f>
        <v>0.38620728650319469</v>
      </c>
      <c r="AD47" s="692">
        <v>0.30658272721716279</v>
      </c>
      <c r="AE47" s="692">
        <v>0.10480982581197477</v>
      </c>
      <c r="AF47" s="692">
        <v>0.15381132075471698</v>
      </c>
      <c r="AG47" s="692">
        <v>0.14983030545018966</v>
      </c>
      <c r="AH47" s="692">
        <f>(AH22+AH23+AH24+AH25+AH26+AH27+AH28+AH29+AH30+AH31+AH32+AH33)/AH15</f>
        <v>0.11576718731274717</v>
      </c>
      <c r="AI47" s="692">
        <f>(AI22+AI23+AI24+AI25+AI26+AI27+AI28+AI29+AI30+AI31+AI32+AI33)/AI15</f>
        <v>0.8522034971121133</v>
      </c>
      <c r="AJ47" s="692">
        <f>(AJ22+AJ23+AJ24+AJ25+AJ26+AJ27+AJ28+AJ29+AJ30+AJ31+AJ32+AJ33)/AJ15</f>
        <v>0.28570819658156088</v>
      </c>
      <c r="AK47" s="692">
        <f>(AK22+AK23+AK24+AK25+AK26+AK27+AK28+AK29+AK30+AK31+AK32+AK33)/AK15</f>
        <v>0.21975430833721471</v>
      </c>
      <c r="AL47" s="692">
        <f>(AL22+AL23+AL24+AL25+AL26+AL27+AL28+AL29+AL30+AL31+AL32+AL33)/AL15</f>
        <v>0.22119959929877286</v>
      </c>
      <c r="AM47" s="695">
        <v>0.23899999999999999</v>
      </c>
      <c r="AN47" s="695">
        <v>0.32199999999999995</v>
      </c>
      <c r="AO47" s="695">
        <v>0.16900000000000004</v>
      </c>
      <c r="AP47" s="695">
        <v>0.21100000000000008</v>
      </c>
      <c r="AQ47" s="695">
        <v>0.20399999999999996</v>
      </c>
      <c r="AR47" s="695">
        <v>0.249</v>
      </c>
      <c r="AS47" s="695">
        <v>0.17899999999999994</v>
      </c>
      <c r="AT47" s="623"/>
      <c r="AU47" s="692">
        <f>(AU22+AU23+AU24+AU25+AU26+AU27+AU28+AU29+AU30+AU31+AU32+AU33)/AU15</f>
        <v>0.32884558216350124</v>
      </c>
      <c r="AV47" s="692">
        <f>(AV22+AV23+AV24+AV25+AV26+AV27+AV28+AV29+AV30+AV31+AV32+AV33)/AV15</f>
        <v>0.35007519876809656</v>
      </c>
      <c r="AW47" s="691">
        <f t="shared" si="20"/>
        <v>2.2368468136456432</v>
      </c>
      <c r="AX47" s="688"/>
      <c r="AY47" s="623"/>
      <c r="AZ47" s="692">
        <f t="shared" ref="AZ47:BE47" si="27">(AZ22+AZ23+AZ24+AZ25+AZ26+AZ27+AZ28+AZ29+AZ30+AZ31+AZ32+AZ33)/AZ15</f>
        <v>0.3485721015710686</v>
      </c>
      <c r="BA47" s="692">
        <f t="shared" si="27"/>
        <v>0.32620363343461217</v>
      </c>
      <c r="BB47" s="692">
        <f t="shared" si="27"/>
        <v>0.33613276226474176</v>
      </c>
      <c r="BC47" s="692">
        <f t="shared" si="27"/>
        <v>0.33239788063837428</v>
      </c>
      <c r="BD47" s="692">
        <f t="shared" si="27"/>
        <v>0.21813692974980831</v>
      </c>
      <c r="BE47" s="692">
        <f t="shared" si="27"/>
        <v>0.18040218266593835</v>
      </c>
      <c r="BF47" s="695">
        <v>0.32512820512820512</v>
      </c>
      <c r="BG47" s="695">
        <f>(BG22+BG23+BG24+BG25+BG26+BG27+BG28+BG29+BG30+BG31+BG32+BG33)/BG15</f>
        <v>0.1641504627664091</v>
      </c>
      <c r="BH47" s="695">
        <f>(BH22+BH23+BH24+BH25+BH26+BH27+BH28+BH29+BH30+BH31+BH32+BH33)/BH15</f>
        <v>0.13159381964363784</v>
      </c>
      <c r="BI47" s="696">
        <f>(BI22+BI23+BI24+BI25+BI26+BI27+BI28+BI29+BI30+BI31+BI32+BI33)/BI15</f>
        <v>0.13831328504020735</v>
      </c>
      <c r="BJ47" s="696">
        <f>(BJ22+BJ23+BJ24+BJ25+BJ26+BJ27+BJ28+BJ29+BJ30+BJ31+BJ32+BJ33)/BJ15</f>
        <v>0.13580091880408962</v>
      </c>
      <c r="BK47" s="696">
        <v>0.10299999999999998</v>
      </c>
      <c r="BL47" s="580"/>
      <c r="BN47" s="580"/>
      <c r="BO47" s="580"/>
      <c r="BP47" s="580"/>
      <c r="BQ47" s="580"/>
    </row>
    <row r="48" spans="1:69" ht="12.75" customHeight="1" x14ac:dyDescent="0.2">
      <c r="A48" s="693" t="s">
        <v>78</v>
      </c>
      <c r="B48" s="693"/>
      <c r="C48" s="691">
        <f t="shared" si="17"/>
        <v>6.8646900673439699</v>
      </c>
      <c r="D48" s="688"/>
      <c r="E48" s="688"/>
      <c r="F48" s="692"/>
      <c r="G48" s="692"/>
      <c r="H48" s="692"/>
      <c r="I48" s="692">
        <f>I34/I15</f>
        <v>0.86892751736598173</v>
      </c>
      <c r="J48" s="692">
        <f t="shared" ref="J48:S48" si="28">J34/J15</f>
        <v>0.9756600227084069</v>
      </c>
      <c r="K48" s="692">
        <f t="shared" si="28"/>
        <v>1.0534773337002132</v>
      </c>
      <c r="L48" s="692">
        <f t="shared" si="28"/>
        <v>0.81381367683549843</v>
      </c>
      <c r="M48" s="692">
        <f t="shared" si="28"/>
        <v>0.80028061669254202</v>
      </c>
      <c r="N48" s="692">
        <f t="shared" si="28"/>
        <v>0.78153590483687574</v>
      </c>
      <c r="O48" s="692">
        <f t="shared" si="28"/>
        <v>0.87269966053242809</v>
      </c>
      <c r="P48" s="692">
        <f t="shared" si="28"/>
        <v>0.97330729166666663</v>
      </c>
      <c r="Q48" s="692">
        <f t="shared" si="28"/>
        <v>0.84261470187413368</v>
      </c>
      <c r="R48" s="692">
        <f t="shared" si="28"/>
        <v>0.79927465202901393</v>
      </c>
      <c r="S48" s="692">
        <f t="shared" si="28"/>
        <v>0.77793458918819414</v>
      </c>
      <c r="T48" s="692">
        <v>1.0111722386796445</v>
      </c>
      <c r="U48" s="692">
        <v>0.88760386256456325</v>
      </c>
      <c r="V48" s="692">
        <v>0.83036644790581082</v>
      </c>
      <c r="W48" s="692">
        <v>0.75766569491763547</v>
      </c>
      <c r="X48" s="692">
        <v>0.87300840177920025</v>
      </c>
      <c r="Y48" s="692" t="e">
        <f>Y34/Y15</f>
        <v>#REF!</v>
      </c>
      <c r="Z48" s="692">
        <f>Z34/Z15</f>
        <v>0.56718792309775246</v>
      </c>
      <c r="AA48" s="692">
        <f>AA34/AA15</f>
        <v>0.56618587985814051</v>
      </c>
      <c r="AB48" s="692">
        <f>AB34/AB15</f>
        <v>0.68959506301468676</v>
      </c>
      <c r="AC48" s="692">
        <f>AC34/AC15</f>
        <v>0.83193546563130216</v>
      </c>
      <c r="AD48" s="692">
        <v>0.84631135016197057</v>
      </c>
      <c r="AE48" s="692">
        <v>0.66254345965022621</v>
      </c>
      <c r="AF48" s="692">
        <v>0.73509433962264148</v>
      </c>
      <c r="AG48" s="692">
        <v>0.73823783855726355</v>
      </c>
      <c r="AH48" s="692">
        <f>AH34/AH15</f>
        <v>0.63048775616186636</v>
      </c>
      <c r="AI48" s="692">
        <f>AI34/AI15</f>
        <v>1.7087586043199621</v>
      </c>
      <c r="AJ48" s="692">
        <f>AJ34/AJ15</f>
        <v>0.87971527215378709</v>
      </c>
      <c r="AK48" s="692">
        <f>AK34/AK15</f>
        <v>0.80260246856078243</v>
      </c>
      <c r="AL48" s="692">
        <f>AL34/AL15</f>
        <v>0.75591660405709993</v>
      </c>
      <c r="AM48" s="695">
        <v>0.79800000000000004</v>
      </c>
      <c r="AN48" s="695">
        <v>0.83199999999999996</v>
      </c>
      <c r="AO48" s="695">
        <v>0.68600000000000005</v>
      </c>
      <c r="AP48" s="695">
        <v>0.77500000000000002</v>
      </c>
      <c r="AQ48" s="695">
        <v>0.74299999999999999</v>
      </c>
      <c r="AR48" s="695">
        <v>0.76</v>
      </c>
      <c r="AS48" s="695">
        <v>0.73199999999999998</v>
      </c>
      <c r="AT48" s="623"/>
      <c r="AU48" s="692">
        <f>AU34/AU15</f>
        <v>0.8659686209744013</v>
      </c>
      <c r="AV48" s="692">
        <f>AV34/AV15</f>
        <v>0.89260339331947713</v>
      </c>
      <c r="AW48" s="691">
        <f t="shared" si="20"/>
        <v>3.6363456381014791</v>
      </c>
      <c r="AX48" s="688"/>
      <c r="AY48" s="623"/>
      <c r="AZ48" s="692">
        <f t="shared" ref="AZ48:BE48" si="29">AZ34/AZ15</f>
        <v>0.89417676545857394</v>
      </c>
      <c r="BA48" s="692">
        <f t="shared" si="29"/>
        <v>0.85781330907755915</v>
      </c>
      <c r="BB48" s="692">
        <f t="shared" si="29"/>
        <v>0.896164856916006</v>
      </c>
      <c r="BC48" s="692">
        <f t="shared" si="29"/>
        <v>0.86331272130138037</v>
      </c>
      <c r="BD48" s="692">
        <f t="shared" si="29"/>
        <v>0.69926181423261735</v>
      </c>
      <c r="BE48" s="692">
        <f t="shared" si="29"/>
        <v>0.73009499890190954</v>
      </c>
      <c r="BF48" s="695">
        <v>0.90560846560846564</v>
      </c>
      <c r="BG48" s="695">
        <f>BG34/BG15</f>
        <v>0.68007132546488924</v>
      </c>
      <c r="BH48" s="695">
        <f>BH34/BH15</f>
        <v>0.66735799362344184</v>
      </c>
      <c r="BI48" s="696">
        <f>BI34/BI15</f>
        <v>0.70103675151192923</v>
      </c>
      <c r="BJ48" s="696">
        <f>BJ34/BJ15</f>
        <v>0.70568967862786336</v>
      </c>
      <c r="BK48" s="696">
        <v>0.73</v>
      </c>
      <c r="BL48" s="580"/>
      <c r="BN48" s="580"/>
      <c r="BO48" s="580"/>
      <c r="BP48" s="580"/>
      <c r="BQ48" s="580"/>
    </row>
    <row r="49" spans="1:69" ht="12.75" customHeight="1" x14ac:dyDescent="0.2">
      <c r="A49" s="693" t="s">
        <v>178</v>
      </c>
      <c r="B49" s="693"/>
      <c r="C49" s="691">
        <f t="shared" si="17"/>
        <v>-6.8646900673439673</v>
      </c>
      <c r="D49" s="688"/>
      <c r="E49" s="688"/>
      <c r="F49" s="692"/>
      <c r="G49" s="692"/>
      <c r="H49" s="692"/>
      <c r="I49" s="692">
        <f>I35/I15</f>
        <v>0.13107248263401824</v>
      </c>
      <c r="J49" s="692">
        <f t="shared" ref="J49:S49" si="30">J35/J15</f>
        <v>2.433997729159312E-2</v>
      </c>
      <c r="K49" s="692">
        <f t="shared" si="30"/>
        <v>-5.347733370021325E-2</v>
      </c>
      <c r="L49" s="692">
        <f t="shared" si="30"/>
        <v>0.18618632316450154</v>
      </c>
      <c r="M49" s="692">
        <f t="shared" si="30"/>
        <v>0.19971938330745792</v>
      </c>
      <c r="N49" s="692">
        <f t="shared" si="30"/>
        <v>0.21846409516312429</v>
      </c>
      <c r="O49" s="692">
        <f t="shared" si="30"/>
        <v>0.12730033946757191</v>
      </c>
      <c r="P49" s="692">
        <f t="shared" si="30"/>
        <v>2.6692708333333332E-2</v>
      </c>
      <c r="Q49" s="692">
        <f t="shared" si="30"/>
        <v>0.1573852981258663</v>
      </c>
      <c r="R49" s="692">
        <f t="shared" si="30"/>
        <v>0.20072534797098607</v>
      </c>
      <c r="S49" s="692">
        <f t="shared" si="30"/>
        <v>0.22206541081180586</v>
      </c>
      <c r="T49" s="692">
        <v>-1.117223867964452E-2</v>
      </c>
      <c r="U49" s="692">
        <v>0.11239613743543679</v>
      </c>
      <c r="V49" s="692">
        <v>0.16963355209418923</v>
      </c>
      <c r="W49" s="692">
        <v>0.2423343050823645</v>
      </c>
      <c r="X49" s="692">
        <v>0.1269915982207997</v>
      </c>
      <c r="Y49" s="692" t="e">
        <f>Y35/Y15</f>
        <v>#REF!</v>
      </c>
      <c r="Z49" s="692">
        <f>Z35/Z15</f>
        <v>0.43281207690224749</v>
      </c>
      <c r="AA49" s="692">
        <f>AA35/AA15</f>
        <v>0.43381412014185955</v>
      </c>
      <c r="AB49" s="692">
        <f>AB35/AB15</f>
        <v>0.3104049369853133</v>
      </c>
      <c r="AC49" s="692">
        <f>AC35/AC15</f>
        <v>0.16806453436869781</v>
      </c>
      <c r="AD49" s="692">
        <v>0.15368864983802946</v>
      </c>
      <c r="AE49" s="692">
        <v>0.33745654034977374</v>
      </c>
      <c r="AF49" s="692">
        <v>0.26490566037735847</v>
      </c>
      <c r="AG49" s="692">
        <v>0.2617621614427364</v>
      </c>
      <c r="AH49" s="692">
        <f>AH35/AH15</f>
        <v>0.36951224383813364</v>
      </c>
      <c r="AI49" s="692">
        <f>AI35/AI15</f>
        <v>-0.70875860431996207</v>
      </c>
      <c r="AJ49" s="692">
        <f>AJ35/AJ15</f>
        <v>0.12028472784621286</v>
      </c>
      <c r="AK49" s="692">
        <f>AK35/AK15</f>
        <v>0.19739753143921751</v>
      </c>
      <c r="AL49" s="692">
        <f>AL35/AL15</f>
        <v>0.24408339594290007</v>
      </c>
      <c r="AM49" s="695">
        <v>0.20199999999999996</v>
      </c>
      <c r="AN49" s="695">
        <v>0.16800000000000004</v>
      </c>
      <c r="AO49" s="695">
        <v>0.31399999999999995</v>
      </c>
      <c r="AP49" s="695">
        <v>0.22500000000000001</v>
      </c>
      <c r="AQ49" s="695">
        <v>0.25700000000000001</v>
      </c>
      <c r="AR49" s="695">
        <v>0.24</v>
      </c>
      <c r="AS49" s="695">
        <v>0.26800000000000002</v>
      </c>
      <c r="AT49" s="623"/>
      <c r="AU49" s="692">
        <f>AU35/AU15</f>
        <v>0.13403137902559867</v>
      </c>
      <c r="AV49" s="692">
        <f>AV35/AV15</f>
        <v>0.10739660668052292</v>
      </c>
      <c r="AW49" s="691">
        <f t="shared" si="20"/>
        <v>-3.6363456381014778</v>
      </c>
      <c r="AX49" s="688"/>
      <c r="AY49" s="623"/>
      <c r="AZ49" s="692">
        <f t="shared" ref="AZ49:BE49" si="31">AZ35/AZ15</f>
        <v>0.1058232345414261</v>
      </c>
      <c r="BA49" s="692">
        <f t="shared" si="31"/>
        <v>0.14218669092244088</v>
      </c>
      <c r="BB49" s="692">
        <f t="shared" si="31"/>
        <v>0.10383514308399405</v>
      </c>
      <c r="BC49" s="692">
        <f t="shared" si="31"/>
        <v>0.1366872786986196</v>
      </c>
      <c r="BD49" s="692">
        <f t="shared" si="31"/>
        <v>0.30073818576738265</v>
      </c>
      <c r="BE49" s="692">
        <f t="shared" si="31"/>
        <v>0.26990500109809046</v>
      </c>
      <c r="BF49" s="695">
        <v>9.4391534391534387E-2</v>
      </c>
      <c r="BG49" s="695">
        <f>BG35/BG15</f>
        <v>0.31992867453511081</v>
      </c>
      <c r="BH49" s="695">
        <f>BH35/BH15</f>
        <v>0.33264200637655816</v>
      </c>
      <c r="BI49" s="696">
        <f>BI35/BI15</f>
        <v>0.29896324848807071</v>
      </c>
      <c r="BJ49" s="696">
        <f>BJ35/BJ15</f>
        <v>0.29431032137213659</v>
      </c>
      <c r="BK49" s="696">
        <v>0.27</v>
      </c>
      <c r="BL49" s="580"/>
      <c r="BN49" s="580"/>
      <c r="BO49" s="580"/>
      <c r="BP49" s="580"/>
      <c r="BQ49" s="580"/>
    </row>
    <row r="50" spans="1:69" ht="12.75" customHeight="1" x14ac:dyDescent="0.2">
      <c r="A50" s="693" t="s">
        <v>79</v>
      </c>
      <c r="B50" s="693"/>
      <c r="C50" s="691" t="e">
        <f t="shared" si="17"/>
        <v>#REF!</v>
      </c>
      <c r="D50" s="688"/>
      <c r="E50" s="688"/>
      <c r="F50" s="692"/>
      <c r="G50" s="692"/>
      <c r="H50" s="692"/>
      <c r="I50" s="692" t="e">
        <f>I41/I15</f>
        <v>#REF!</v>
      </c>
      <c r="J50" s="692" t="e">
        <f t="shared" ref="J50:S50" si="32">J41/J15</f>
        <v>#REF!</v>
      </c>
      <c r="K50" s="692" t="e">
        <f t="shared" si="32"/>
        <v>#REF!</v>
      </c>
      <c r="L50" s="692" t="e">
        <f t="shared" si="32"/>
        <v>#REF!</v>
      </c>
      <c r="M50" s="692" t="e">
        <f t="shared" si="32"/>
        <v>#REF!</v>
      </c>
      <c r="N50" s="692" t="e">
        <f t="shared" si="32"/>
        <v>#REF!</v>
      </c>
      <c r="O50" s="692" t="e">
        <f t="shared" si="32"/>
        <v>#REF!</v>
      </c>
      <c r="P50" s="692" t="e">
        <f t="shared" si="32"/>
        <v>#REF!</v>
      </c>
      <c r="Q50" s="692" t="e">
        <f t="shared" si="32"/>
        <v>#REF!</v>
      </c>
      <c r="R50" s="692" t="e">
        <f t="shared" si="32"/>
        <v>#REF!</v>
      </c>
      <c r="S50" s="692" t="e">
        <f t="shared" si="32"/>
        <v>#REF!</v>
      </c>
      <c r="T50" s="692">
        <v>-8.2211877556778112E-2</v>
      </c>
      <c r="U50" s="692">
        <v>3.0597350101055468E-2</v>
      </c>
      <c r="V50" s="692">
        <v>0.1258766864771991</v>
      </c>
      <c r="W50" s="692">
        <v>0.19641038249446804</v>
      </c>
      <c r="X50" s="692">
        <v>5.3940834529665103E-2</v>
      </c>
      <c r="Y50" s="692" t="e">
        <f>Y41/Y15</f>
        <v>#REF!</v>
      </c>
      <c r="Z50" s="692">
        <f>Z41/Z15</f>
        <v>0.41521121039805037</v>
      </c>
      <c r="AA50" s="692">
        <f>AA41/AA15</f>
        <v>0.41739790135644034</v>
      </c>
      <c r="AB50" s="692">
        <f>AB41/AB15</f>
        <v>0.27287663547656738</v>
      </c>
      <c r="AC50" s="692">
        <f>AC41/AC15</f>
        <v>0.13525076804191719</v>
      </c>
      <c r="AD50" s="692">
        <v>9.9993887904162332E-2</v>
      </c>
      <c r="AE50" s="692">
        <v>0.31154672676765027</v>
      </c>
      <c r="AF50" s="692">
        <v>0.2130566037735849</v>
      </c>
      <c r="AG50" s="692">
        <v>0.21321621082052306</v>
      </c>
      <c r="AH50" s="692">
        <f>AH41/AH15</f>
        <v>0.28066951623856512</v>
      </c>
      <c r="AI50" s="692">
        <f>AI41/AI15</f>
        <v>-0.76184824748793423</v>
      </c>
      <c r="AJ50" s="692">
        <f>AJ41/AJ15</f>
        <v>1.9479135586718384E-2</v>
      </c>
      <c r="AK50" s="692">
        <f>AK41/AK15</f>
        <v>0.15710875640428504</v>
      </c>
      <c r="AL50" s="692">
        <f>AL41/AL15</f>
        <v>0.21625344352617079</v>
      </c>
      <c r="AM50" s="697" t="s">
        <v>177</v>
      </c>
      <c r="AN50" s="697" t="s">
        <v>177</v>
      </c>
      <c r="AO50" s="688"/>
      <c r="AP50" s="688"/>
      <c r="AQ50" s="688"/>
      <c r="AR50" s="688"/>
      <c r="AS50" s="688"/>
      <c r="AT50" s="660"/>
      <c r="AU50" s="692" t="e">
        <f>AU41/AU15</f>
        <v>#REF!</v>
      </c>
      <c r="AV50" s="692" t="e">
        <f>AV41/AV15</f>
        <v>#REF!</v>
      </c>
      <c r="AW50" s="691" t="e">
        <f t="shared" si="20"/>
        <v>#REF!</v>
      </c>
      <c r="AX50" s="688"/>
      <c r="AY50" s="660"/>
      <c r="AZ50" s="692" t="e">
        <f t="shared" ref="AZ50:BE50" si="33">AZ41/AZ15</f>
        <v>#REF!</v>
      </c>
      <c r="BA50" s="692" t="e">
        <f t="shared" si="33"/>
        <v>#REF!</v>
      </c>
      <c r="BB50" s="692" t="e">
        <f t="shared" si="33"/>
        <v>#REF!</v>
      </c>
      <c r="BC50" s="692" t="e">
        <f t="shared" si="33"/>
        <v>#REF!</v>
      </c>
      <c r="BD50" s="692" t="e">
        <f t="shared" si="33"/>
        <v>#REF!</v>
      </c>
      <c r="BE50" s="692">
        <f t="shared" si="33"/>
        <v>0.21599720690839674</v>
      </c>
      <c r="BF50" s="695">
        <v>9.4391534391534387E-2</v>
      </c>
      <c r="BG50" s="695">
        <f>BG41/BG15</f>
        <v>0.3048654156406555</v>
      </c>
      <c r="BH50" s="695">
        <f>BH41/BH15</f>
        <v>0.31759098324820595</v>
      </c>
      <c r="BI50" s="696">
        <f>BI41/BI15</f>
        <v>0.28234199508207614</v>
      </c>
      <c r="BJ50" s="696">
        <f>BJ41/BJ15</f>
        <v>0.26257076779790495</v>
      </c>
      <c r="BK50" s="696"/>
      <c r="BL50" s="580"/>
      <c r="BN50" s="580"/>
      <c r="BO50" s="580"/>
      <c r="BP50" s="580"/>
      <c r="BQ50" s="580"/>
    </row>
    <row r="51" spans="1:69" ht="12.75" customHeight="1" x14ac:dyDescent="0.2">
      <c r="A51" s="694"/>
      <c r="B51" s="694"/>
      <c r="C51" s="691"/>
      <c r="D51" s="688"/>
      <c r="E51" s="688"/>
      <c r="F51" s="509"/>
      <c r="G51" s="688"/>
      <c r="H51" s="688"/>
      <c r="I51" s="688"/>
      <c r="J51" s="509"/>
      <c r="K51" s="688"/>
      <c r="L51" s="688"/>
      <c r="M51" s="688"/>
      <c r="N51" s="509"/>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92"/>
      <c r="AL51" s="692"/>
      <c r="AM51" s="624"/>
      <c r="AN51" s="624"/>
      <c r="AO51" s="624"/>
      <c r="AP51" s="692"/>
      <c r="AQ51" s="692"/>
      <c r="AR51" s="692"/>
      <c r="AS51" s="692"/>
      <c r="AT51" s="623"/>
      <c r="AU51" s="623"/>
      <c r="AV51" s="623"/>
      <c r="AW51" s="636"/>
      <c r="AX51" s="688"/>
      <c r="AY51" s="623"/>
      <c r="AZ51" s="695"/>
      <c r="BA51" s="695"/>
      <c r="BB51" s="695"/>
      <c r="BC51" s="695"/>
      <c r="BD51" s="695"/>
      <c r="BE51" s="695"/>
      <c r="BF51" s="695"/>
      <c r="BG51" s="695"/>
      <c r="BH51" s="698"/>
      <c r="BI51" s="699"/>
      <c r="BJ51" s="699"/>
      <c r="BK51" s="699"/>
      <c r="BL51" s="580"/>
      <c r="BN51" s="580"/>
      <c r="BO51" s="580"/>
      <c r="BP51" s="580"/>
      <c r="BQ51" s="580"/>
    </row>
    <row r="52" spans="1:69" ht="12.75" customHeight="1" x14ac:dyDescent="0.2">
      <c r="A52" s="694" t="s">
        <v>88</v>
      </c>
      <c r="B52" s="694"/>
      <c r="C52" s="783">
        <f>I52-M52</f>
        <v>-28</v>
      </c>
      <c r="D52" s="688">
        <f>IF(OR((C52/M52)&gt;3,(C52/M52)&lt;-3),"n.m.",(C52/M52))</f>
        <v>-5.533596837944664E-2</v>
      </c>
      <c r="E52" s="688"/>
      <c r="F52" s="509"/>
      <c r="G52" s="509"/>
      <c r="H52" s="509"/>
      <c r="I52" s="509">
        <f>+'4 Capital Markets Canada'!M44+'5 CG - US'!M44</f>
        <v>478</v>
      </c>
      <c r="J52" s="509">
        <f>+'4 Capital Markets Canada'!N44+'5 CG - US'!N44</f>
        <v>470</v>
      </c>
      <c r="K52" s="509">
        <f>+'4 Capital Markets Canada'!O44+'5 CG - US'!O44</f>
        <v>500</v>
      </c>
      <c r="L52" s="509">
        <f>+'4 Capital Markets Canada'!P44+'5 CG - US'!P44</f>
        <v>503</v>
      </c>
      <c r="M52" s="509">
        <f>+'4 Capital Markets Canada'!Q44+'5 CG - US'!Q44</f>
        <v>506</v>
      </c>
      <c r="N52" s="509">
        <f>+'4 Capital Markets Canada'!R44+'5 CG - US'!R44</f>
        <v>501</v>
      </c>
      <c r="O52" s="509">
        <f>+'4 Capital Markets Canada'!S44+'5 CG - US'!S44</f>
        <v>493</v>
      </c>
      <c r="P52" s="509">
        <f>+'4 Capital Markets Canada'!T44+'5 CG - US'!T44</f>
        <v>490</v>
      </c>
      <c r="Q52" s="509">
        <f>+'4 Capital Markets Canada'!U44+'5 CG - US'!U44</f>
        <v>485</v>
      </c>
      <c r="R52" s="509">
        <f>+'4 Capital Markets Canada'!V44+'5 CG - US'!V44</f>
        <v>475</v>
      </c>
      <c r="S52" s="509">
        <f>+'4 Capital Markets Canada'!W44+'5 CG - US'!W44</f>
        <v>483</v>
      </c>
      <c r="T52" s="509">
        <v>225</v>
      </c>
      <c r="U52" s="509">
        <v>239</v>
      </c>
      <c r="V52" s="509">
        <v>247</v>
      </c>
      <c r="W52" s="509">
        <v>262</v>
      </c>
      <c r="X52" s="509">
        <v>266</v>
      </c>
      <c r="Y52" s="509"/>
      <c r="Z52" s="509"/>
      <c r="AA52" s="509"/>
      <c r="AB52" s="509"/>
      <c r="AC52" s="509"/>
      <c r="AD52" s="509"/>
      <c r="AE52" s="509"/>
      <c r="AF52" s="509"/>
      <c r="AG52" s="509"/>
      <c r="AH52" s="509"/>
      <c r="AI52" s="509"/>
      <c r="AJ52" s="509"/>
      <c r="AK52" s="362"/>
      <c r="AL52" s="362"/>
      <c r="AM52" s="462"/>
      <c r="AN52" s="462"/>
      <c r="AO52" s="462"/>
      <c r="AP52" s="362"/>
      <c r="AQ52" s="362"/>
      <c r="AR52" s="362"/>
      <c r="AS52" s="362"/>
      <c r="AT52" s="362"/>
      <c r="AU52" s="362">
        <f>+K52</f>
        <v>500</v>
      </c>
      <c r="AV52" s="362">
        <f>+O52</f>
        <v>493</v>
      </c>
      <c r="AW52" s="636">
        <f>AZ52-BA52</f>
        <v>-31</v>
      </c>
      <c r="AX52" s="688">
        <f>IF(OR((AW52/BA52)&gt;3,(AW52/BA52)&lt;-3),"n.m.",(AW52/BA52))</f>
        <v>-6.1876247504990017E-2</v>
      </c>
      <c r="AY52" s="623"/>
      <c r="AZ52" s="509">
        <f>+'4 Capital Markets Canada'!BE44+'5 CG - US'!BE44</f>
        <v>470</v>
      </c>
      <c r="BA52" s="509">
        <f>+'4 Capital Markets Canada'!BF44+'5 CG - US'!BF44</f>
        <v>501</v>
      </c>
      <c r="BB52" s="509">
        <f>+'4 Capital Markets Canada'!BG44+'5 CG - US'!BG44</f>
        <v>475</v>
      </c>
      <c r="BC52" s="509">
        <f>+'4 Capital Markets Canada'!BH44+'5 CG - US'!BH44</f>
        <v>549</v>
      </c>
      <c r="BD52" s="509">
        <f>+'4 Capital Markets Canada'!BI44+'5 CG - US'!BI44</f>
        <v>443</v>
      </c>
      <c r="BE52" s="283">
        <v>203</v>
      </c>
      <c r="BF52" s="283">
        <v>209</v>
      </c>
      <c r="BG52" s="695"/>
      <c r="BH52" s="698"/>
      <c r="BI52" s="699"/>
      <c r="BJ52" s="699"/>
      <c r="BK52" s="699"/>
      <c r="BL52" s="580"/>
      <c r="BN52" s="580"/>
      <c r="BO52" s="580"/>
      <c r="BP52" s="580"/>
      <c r="BQ52" s="580"/>
    </row>
    <row r="53" spans="1:69" ht="12.75" customHeight="1" x14ac:dyDescent="0.2">
      <c r="A53" s="589"/>
      <c r="B53" s="589"/>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700"/>
      <c r="AX53" s="700"/>
      <c r="AY53" s="623"/>
      <c r="AZ53" s="623"/>
      <c r="BA53" s="623"/>
      <c r="BB53" s="623"/>
      <c r="BC53" s="623"/>
      <c r="BD53" s="803"/>
      <c r="BE53" s="623"/>
      <c r="BF53" s="623"/>
      <c r="BG53" s="623"/>
      <c r="BH53" s="623"/>
      <c r="BI53" s="701"/>
      <c r="BJ53" s="701"/>
      <c r="BK53" s="701"/>
      <c r="BL53" s="580"/>
      <c r="BN53" s="580"/>
      <c r="BO53" s="580"/>
      <c r="BP53" s="580"/>
      <c r="BQ53" s="580"/>
    </row>
    <row r="54" spans="1:69" ht="18" customHeight="1" x14ac:dyDescent="0.2">
      <c r="A54" s="702" t="s">
        <v>252</v>
      </c>
      <c r="B54" s="589"/>
      <c r="C54" s="624"/>
      <c r="D54" s="624"/>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4"/>
      <c r="AO54" s="624"/>
      <c r="AP54" s="624"/>
      <c r="AQ54" s="624"/>
      <c r="AR54" s="624"/>
      <c r="AS54" s="624"/>
      <c r="AT54" s="623"/>
      <c r="AU54" s="624"/>
      <c r="AV54" s="624"/>
      <c r="AW54" s="700"/>
      <c r="AX54" s="700"/>
      <c r="AY54" s="624"/>
      <c r="AZ54" s="624"/>
      <c r="BA54" s="624"/>
      <c r="BB54" s="624"/>
      <c r="BC54" s="624"/>
      <c r="BD54" s="624"/>
      <c r="BE54" s="624"/>
      <c r="BF54" s="791"/>
      <c r="BG54" s="624"/>
      <c r="BH54" s="624"/>
      <c r="BI54" s="703"/>
      <c r="BJ54" s="703"/>
      <c r="BK54" s="703"/>
      <c r="BL54" s="580"/>
      <c r="BN54" s="580"/>
      <c r="BO54" s="580"/>
      <c r="BP54" s="580"/>
      <c r="BQ54" s="580"/>
    </row>
    <row r="55" spans="1:69" ht="12.75" customHeight="1" x14ac:dyDescent="0.2">
      <c r="A55" s="704"/>
      <c r="B55" s="589"/>
      <c r="C55" s="624"/>
      <c r="D55" s="624"/>
      <c r="E55" s="623"/>
      <c r="F55" s="623"/>
      <c r="G55" s="705"/>
      <c r="H55" s="705"/>
      <c r="I55" s="623"/>
      <c r="J55" s="623"/>
      <c r="K55" s="705"/>
      <c r="L55" s="705"/>
      <c r="M55" s="623"/>
      <c r="N55" s="623"/>
      <c r="O55" s="705"/>
      <c r="P55" s="705"/>
      <c r="Q55" s="623"/>
      <c r="R55" s="623"/>
      <c r="S55" s="705"/>
      <c r="T55" s="705"/>
      <c r="U55" s="623"/>
      <c r="V55" s="623"/>
      <c r="W55" s="623"/>
      <c r="X55" s="705"/>
      <c r="Y55" s="623"/>
      <c r="Z55" s="705"/>
      <c r="AA55" s="623"/>
      <c r="AB55" s="705"/>
      <c r="AC55" s="623"/>
      <c r="AD55" s="705"/>
      <c r="AE55" s="623"/>
      <c r="AF55" s="705"/>
      <c r="AG55" s="623"/>
      <c r="AH55" s="705"/>
      <c r="AI55" s="623"/>
      <c r="AJ55" s="623"/>
      <c r="AK55" s="623"/>
      <c r="AL55" s="623"/>
      <c r="AM55" s="623"/>
      <c r="AN55" s="624"/>
      <c r="AO55" s="624"/>
      <c r="AP55" s="624"/>
      <c r="AQ55" s="624"/>
      <c r="AR55" s="624"/>
      <c r="AS55" s="624"/>
      <c r="AT55" s="623"/>
      <c r="AU55" s="624"/>
      <c r="AV55" s="624"/>
      <c r="AW55" s="700"/>
      <c r="AX55" s="700"/>
      <c r="AY55" s="624"/>
      <c r="AZ55" s="624"/>
      <c r="BA55" s="624"/>
      <c r="BB55" s="624"/>
      <c r="BC55" s="624"/>
      <c r="BD55" s="624"/>
      <c r="BE55" s="624"/>
      <c r="BF55" s="624"/>
      <c r="BG55" s="624"/>
      <c r="BH55" s="624"/>
      <c r="BI55" s="703"/>
      <c r="BJ55" s="703"/>
      <c r="BK55" s="703"/>
      <c r="BL55" s="580"/>
      <c r="BN55" s="580"/>
      <c r="BO55" s="580"/>
      <c r="BP55" s="580"/>
      <c r="BQ55" s="580"/>
    </row>
    <row r="56" spans="1:69" ht="12.75" customHeight="1" x14ac:dyDescent="0.2">
      <c r="A56" s="588"/>
      <c r="B56" s="589"/>
      <c r="C56" s="2467" t="s">
        <v>396</v>
      </c>
      <c r="D56" s="2468"/>
      <c r="E56" s="590"/>
      <c r="F56" s="591"/>
      <c r="G56" s="591"/>
      <c r="I56" s="592"/>
      <c r="J56" s="591"/>
      <c r="K56" s="591"/>
      <c r="M56" s="592"/>
      <c r="N56" s="591"/>
      <c r="O56" s="591"/>
      <c r="Q56" s="592"/>
      <c r="R56" s="591"/>
      <c r="S56" s="591"/>
      <c r="U56" s="592"/>
      <c r="V56" s="591"/>
      <c r="W56" s="591"/>
      <c r="Y56" s="592"/>
      <c r="Z56" s="591"/>
      <c r="AA56" s="591"/>
      <c r="AC56" s="592"/>
      <c r="AD56" s="591"/>
      <c r="AE56" s="591"/>
      <c r="AG56" s="592"/>
      <c r="AI56" s="591"/>
      <c r="AJ56" s="591"/>
      <c r="AK56" s="592"/>
      <c r="AL56" s="591"/>
      <c r="AM56" s="591"/>
      <c r="AN56" s="591"/>
      <c r="AO56" s="591"/>
      <c r="AP56" s="593"/>
      <c r="AQ56" s="592"/>
      <c r="AR56" s="592"/>
      <c r="AS56" s="592"/>
      <c r="AT56" s="599"/>
      <c r="AU56" s="438" t="s">
        <v>311</v>
      </c>
      <c r="AV56" s="438"/>
      <c r="AW56" s="438" t="s">
        <v>380</v>
      </c>
      <c r="AX56" s="439"/>
      <c r="AY56" s="595"/>
      <c r="AZ56" s="596"/>
      <c r="BA56" s="596"/>
      <c r="BB56" s="596"/>
      <c r="BC56" s="596"/>
      <c r="BD56" s="596"/>
      <c r="BE56" s="596"/>
      <c r="BF56" s="596"/>
      <c r="BG56" s="706"/>
      <c r="BH56" s="707"/>
      <c r="BI56" s="596"/>
      <c r="BJ56" s="596"/>
      <c r="BK56" s="596"/>
      <c r="BL56" s="599"/>
      <c r="BN56" s="580"/>
      <c r="BO56" s="580"/>
      <c r="BP56" s="580"/>
      <c r="BQ56" s="580"/>
    </row>
    <row r="57" spans="1:69" ht="12.75" customHeight="1" x14ac:dyDescent="0.2">
      <c r="A57" s="588" t="s">
        <v>2</v>
      </c>
      <c r="B57" s="589"/>
      <c r="C57" s="2469" t="s">
        <v>39</v>
      </c>
      <c r="D57" s="2470"/>
      <c r="E57" s="600"/>
      <c r="F57" s="19"/>
      <c r="G57" s="19"/>
      <c r="H57" s="19"/>
      <c r="I57" s="12" t="s">
        <v>395</v>
      </c>
      <c r="J57" s="19" t="s">
        <v>373</v>
      </c>
      <c r="K57" s="19" t="s">
        <v>374</v>
      </c>
      <c r="L57" s="19" t="s">
        <v>375</v>
      </c>
      <c r="M57" s="12" t="s">
        <v>376</v>
      </c>
      <c r="N57" s="601" t="s">
        <v>330</v>
      </c>
      <c r="O57" s="601" t="s">
        <v>329</v>
      </c>
      <c r="P57" s="601" t="s">
        <v>328</v>
      </c>
      <c r="Q57" s="602" t="s">
        <v>326</v>
      </c>
      <c r="R57" s="601" t="s">
        <v>282</v>
      </c>
      <c r="S57" s="601" t="s">
        <v>283</v>
      </c>
      <c r="T57" s="601" t="s">
        <v>284</v>
      </c>
      <c r="U57" s="602" t="s">
        <v>285</v>
      </c>
      <c r="V57" s="601" t="s">
        <v>220</v>
      </c>
      <c r="W57" s="601" t="s">
        <v>221</v>
      </c>
      <c r="X57" s="601" t="s">
        <v>222</v>
      </c>
      <c r="Y57" s="602" t="s">
        <v>219</v>
      </c>
      <c r="Z57" s="601" t="s">
        <v>185</v>
      </c>
      <c r="AA57" s="601" t="s">
        <v>186</v>
      </c>
      <c r="AB57" s="601" t="s">
        <v>187</v>
      </c>
      <c r="AC57" s="602" t="s">
        <v>188</v>
      </c>
      <c r="AD57" s="601" t="s">
        <v>118</v>
      </c>
      <c r="AE57" s="601" t="s">
        <v>117</v>
      </c>
      <c r="AF57" s="601" t="s">
        <v>116</v>
      </c>
      <c r="AG57" s="602" t="s">
        <v>115</v>
      </c>
      <c r="AH57" s="601" t="s">
        <v>83</v>
      </c>
      <c r="AI57" s="601" t="s">
        <v>84</v>
      </c>
      <c r="AJ57" s="601" t="s">
        <v>85</v>
      </c>
      <c r="AK57" s="602" t="s">
        <v>30</v>
      </c>
      <c r="AL57" s="601" t="s">
        <v>31</v>
      </c>
      <c r="AM57" s="601" t="s">
        <v>32</v>
      </c>
      <c r="AN57" s="601" t="s">
        <v>33</v>
      </c>
      <c r="AO57" s="601" t="s">
        <v>34</v>
      </c>
      <c r="AP57" s="603" t="s">
        <v>35</v>
      </c>
      <c r="AQ57" s="602" t="s">
        <v>36</v>
      </c>
      <c r="AR57" s="602" t="s">
        <v>37</v>
      </c>
      <c r="AS57" s="602" t="s">
        <v>38</v>
      </c>
      <c r="AT57" s="880"/>
      <c r="AU57" s="19" t="s">
        <v>374</v>
      </c>
      <c r="AV57" s="19" t="s">
        <v>329</v>
      </c>
      <c r="AW57" s="2471" t="s">
        <v>39</v>
      </c>
      <c r="AX57" s="2472"/>
      <c r="AY57" s="708"/>
      <c r="AZ57" s="18" t="s">
        <v>385</v>
      </c>
      <c r="BA57" s="18" t="s">
        <v>332</v>
      </c>
      <c r="BB57" s="603" t="s">
        <v>287</v>
      </c>
      <c r="BC57" s="603" t="s">
        <v>224</v>
      </c>
      <c r="BD57" s="603" t="s">
        <v>120</v>
      </c>
      <c r="BE57" s="603" t="s">
        <v>119</v>
      </c>
      <c r="BF57" s="603" t="s">
        <v>43</v>
      </c>
      <c r="BG57" s="603" t="s">
        <v>40</v>
      </c>
      <c r="BH57" s="605" t="s">
        <v>41</v>
      </c>
      <c r="BI57" s="605" t="s">
        <v>138</v>
      </c>
      <c r="BJ57" s="605" t="s">
        <v>139</v>
      </c>
      <c r="BK57" s="605" t="s">
        <v>140</v>
      </c>
      <c r="BL57" s="599"/>
      <c r="BN57" s="580"/>
      <c r="BO57" s="580"/>
      <c r="BP57" s="580"/>
      <c r="BQ57" s="580"/>
    </row>
    <row r="58" spans="1:69" ht="12.75" customHeight="1" x14ac:dyDescent="0.2">
      <c r="A58" s="709"/>
      <c r="B58" s="623" t="s">
        <v>4</v>
      </c>
      <c r="C58" s="710">
        <f>I58-M58</f>
        <v>-31338</v>
      </c>
      <c r="D58" s="711">
        <f>IF(OR((C58/M58)&gt;3,(C58/M58)&lt;-3),"n.m.",(C58/M58))</f>
        <v>-0.26017650623915517</v>
      </c>
      <c r="E58" s="622"/>
      <c r="F58" s="712"/>
      <c r="G58" s="712"/>
      <c r="H58" s="712"/>
      <c r="I58" s="713">
        <f>+I15</f>
        <v>89111</v>
      </c>
      <c r="J58" s="712">
        <f t="shared" ref="J58:S58" si="34">+J15</f>
        <v>104807</v>
      </c>
      <c r="K58" s="712">
        <f t="shared" si="34"/>
        <v>72685</v>
      </c>
      <c r="L58" s="712">
        <f t="shared" si="34"/>
        <v>109616</v>
      </c>
      <c r="M58" s="713">
        <f t="shared" si="34"/>
        <v>120449</v>
      </c>
      <c r="N58" s="712">
        <f t="shared" si="34"/>
        <v>114330</v>
      </c>
      <c r="O58" s="712">
        <f t="shared" si="34"/>
        <v>89552</v>
      </c>
      <c r="P58" s="712">
        <f t="shared" si="34"/>
        <v>75264</v>
      </c>
      <c r="Q58" s="713">
        <f t="shared" si="34"/>
        <v>85853</v>
      </c>
      <c r="R58" s="712">
        <f t="shared" si="34"/>
        <v>102020</v>
      </c>
      <c r="S58" s="712">
        <f t="shared" si="34"/>
        <v>114079</v>
      </c>
      <c r="T58" s="712">
        <v>35445</v>
      </c>
      <c r="U58" s="713">
        <v>35624</v>
      </c>
      <c r="V58" s="712">
        <v>71006</v>
      </c>
      <c r="W58" s="712">
        <v>56942</v>
      </c>
      <c r="X58" s="712">
        <v>42491</v>
      </c>
      <c r="Y58" s="712">
        <f>Y15</f>
        <v>61867</v>
      </c>
      <c r="Z58" s="712">
        <f>Z15</f>
        <v>88632</v>
      </c>
      <c r="AA58" s="714">
        <f>AA15</f>
        <v>109404</v>
      </c>
      <c r="AB58" s="712">
        <f>AB15</f>
        <v>49909</v>
      </c>
      <c r="AC58" s="713">
        <f>AC15</f>
        <v>53057</v>
      </c>
      <c r="AD58" s="712">
        <v>32806</v>
      </c>
      <c r="AE58" s="714">
        <v>58040</v>
      </c>
      <c r="AF58" s="712">
        <v>27314</v>
      </c>
      <c r="AG58" s="713">
        <v>30054</v>
      </c>
      <c r="AH58" s="714">
        <v>25033</v>
      </c>
      <c r="AI58" s="714">
        <v>12639</v>
      </c>
      <c r="AJ58" s="712">
        <v>23461</v>
      </c>
      <c r="AK58" s="713">
        <v>34352</v>
      </c>
      <c r="AL58" s="644">
        <v>31944</v>
      </c>
      <c r="AM58" s="644">
        <v>42952</v>
      </c>
      <c r="AN58" s="644">
        <v>39210</v>
      </c>
      <c r="AO58" s="644">
        <v>62549</v>
      </c>
      <c r="AP58" s="673">
        <v>57382</v>
      </c>
      <c r="AQ58" s="631">
        <v>48897</v>
      </c>
      <c r="AR58" s="631">
        <v>38533</v>
      </c>
      <c r="AS58" s="643">
        <v>42750</v>
      </c>
      <c r="AT58" s="620"/>
      <c r="AU58" s="633">
        <f>SUM(K58:M58)</f>
        <v>302750</v>
      </c>
      <c r="AV58" s="633">
        <f>SUM(O58:Q58)</f>
        <v>250669</v>
      </c>
      <c r="AW58" s="840">
        <f>AZ58-BA58</f>
        <v>42558</v>
      </c>
      <c r="AX58" s="715">
        <f>IF(OR((AW58/BA58)&gt;3,(AW58/BA58)&lt;-3),"n.m.",(AW58/BA58))</f>
        <v>0.11659757971939649</v>
      </c>
      <c r="AY58" s="624"/>
      <c r="AZ58" s="716">
        <f>+AZ15</f>
        <v>407557</v>
      </c>
      <c r="BA58" s="716">
        <f>+SUM(N58:Q58)</f>
        <v>364999</v>
      </c>
      <c r="BB58" s="716">
        <f>+'4 Capital Markets Canada'!BG50+'5 CG - US'!BG50</f>
        <v>357692</v>
      </c>
      <c r="BC58" s="716">
        <f>+'4 Capital Markets Canada'!BH50+'5 CG - US'!BH50</f>
        <v>311792</v>
      </c>
      <c r="BD58" s="716">
        <f>+'4 Capital Markets Canada'!BI50+'5 CG - US'!BI50</f>
        <v>444739</v>
      </c>
      <c r="BE58" s="716">
        <v>177581</v>
      </c>
      <c r="BF58" s="716">
        <v>122850</v>
      </c>
      <c r="BG58" s="673">
        <v>176655</v>
      </c>
      <c r="BH58" s="717">
        <v>187562</v>
      </c>
      <c r="BI58" s="676">
        <v>150470</v>
      </c>
      <c r="BJ58" s="676">
        <f>BJ15</f>
        <v>95559</v>
      </c>
      <c r="BK58" s="676">
        <v>211758</v>
      </c>
      <c r="BL58" s="599"/>
      <c r="BN58" s="580"/>
      <c r="BO58" s="580"/>
      <c r="BP58" s="580"/>
      <c r="BQ58" s="580"/>
    </row>
    <row r="59" spans="1:69" ht="12.75" customHeight="1" x14ac:dyDescent="0.2">
      <c r="A59" s="624"/>
      <c r="B59" s="623" t="s">
        <v>82</v>
      </c>
      <c r="C59" s="710">
        <f>I59-M59</f>
        <v>-18697</v>
      </c>
      <c r="D59" s="711">
        <f>IF(OR((C59/M59)&gt;3,(C59/M59)&lt;-3),"n.m.",(C59/M59))</f>
        <v>-0.19585803775324212</v>
      </c>
      <c r="E59" s="718"/>
      <c r="F59" s="712"/>
      <c r="G59" s="712"/>
      <c r="H59" s="712"/>
      <c r="I59" s="713">
        <f>+I34-666</f>
        <v>76765</v>
      </c>
      <c r="J59" s="712">
        <f>+J34-930-2-J29</f>
        <v>89970</v>
      </c>
      <c r="K59" s="712">
        <f>+K34-930-1</f>
        <v>75641</v>
      </c>
      <c r="L59" s="712">
        <f>+L34-930-1</f>
        <v>88276</v>
      </c>
      <c r="M59" s="713">
        <f>+M34-930-1</f>
        <v>95462</v>
      </c>
      <c r="N59" s="712">
        <f>+N34-931-1</f>
        <v>88421</v>
      </c>
      <c r="O59" s="712">
        <f>+O34-O29-931-1</f>
        <v>77220</v>
      </c>
      <c r="P59" s="712">
        <f>+P34-P29-930-1</f>
        <v>68145</v>
      </c>
      <c r="Q59" s="713">
        <f>+Q34-Q29-930-1</f>
        <v>71410</v>
      </c>
      <c r="R59" s="712">
        <f>+R34-R29-930-1</f>
        <v>80611</v>
      </c>
      <c r="S59" s="712">
        <f>+S34-S29-930-2</f>
        <v>84829</v>
      </c>
      <c r="T59" s="712">
        <v>33948</v>
      </c>
      <c r="U59" s="713">
        <v>30690</v>
      </c>
      <c r="V59" s="712">
        <v>51052</v>
      </c>
      <c r="W59" s="712">
        <v>39039</v>
      </c>
      <c r="X59" s="712">
        <v>34722</v>
      </c>
      <c r="Y59" s="713" t="e">
        <f>Y34-Y29-930</f>
        <v>#REF!</v>
      </c>
      <c r="Z59" s="712">
        <f>Z34-Z29-930</f>
        <v>49341</v>
      </c>
      <c r="AA59" s="712">
        <f>AA34-AA29-930</f>
        <v>61013</v>
      </c>
      <c r="AB59" s="712">
        <f>AB34-1827</f>
        <v>32590</v>
      </c>
      <c r="AC59" s="713">
        <f>AC34-AC33-AC32-AC31-AC30-AC29-1439</f>
        <v>31711</v>
      </c>
      <c r="AD59" s="712">
        <v>22693</v>
      </c>
      <c r="AE59" s="712">
        <v>37922</v>
      </c>
      <c r="AF59" s="712">
        <v>19480</v>
      </c>
      <c r="AG59" s="713">
        <v>22187</v>
      </c>
      <c r="AH59" s="712">
        <f>AH34-AH33-AH32-AH31-AH30</f>
        <v>15783</v>
      </c>
      <c r="AI59" s="712">
        <f>AI34-AI33-AI32-AI31-AI30</f>
        <v>21597</v>
      </c>
      <c r="AJ59" s="712">
        <f>AJ34-AJ33-AJ32-AJ31-AJ30</f>
        <v>20639</v>
      </c>
      <c r="AK59" s="713">
        <f>AK34-AK33-AK32-AK31-AK30</f>
        <v>27571</v>
      </c>
      <c r="AL59" s="644">
        <f>AL34-AL33-AL32-AL31-AL30</f>
        <v>24147</v>
      </c>
      <c r="AM59" s="644">
        <v>86348</v>
      </c>
      <c r="AN59" s="644">
        <v>72982</v>
      </c>
      <c r="AO59" s="644">
        <v>106349</v>
      </c>
      <c r="AP59" s="645">
        <v>100905</v>
      </c>
      <c r="AQ59" s="631">
        <v>75317</v>
      </c>
      <c r="AR59" s="631">
        <v>70703</v>
      </c>
      <c r="AS59" s="631">
        <v>91522</v>
      </c>
      <c r="AT59" s="620"/>
      <c r="AU59" s="663">
        <f>SUM(K59:M59)</f>
        <v>259379</v>
      </c>
      <c r="AV59" s="633">
        <f>SUM(O59:Q59)</f>
        <v>216775</v>
      </c>
      <c r="AW59" s="401">
        <f>AZ59-BA59</f>
        <v>44153</v>
      </c>
      <c r="AX59" s="719">
        <f>IF(OR((AW59/BA59)&gt;3,(AW59/BA59)&lt;-3),"n.m.",(AW59/BA59))</f>
        <v>0.14467096554345404</v>
      </c>
      <c r="AY59" s="624"/>
      <c r="AZ59" s="716">
        <f>+SUM(J59:M59)</f>
        <v>349349</v>
      </c>
      <c r="BA59" s="716">
        <f>+SUM(N59:Q59)</f>
        <v>305196</v>
      </c>
      <c r="BB59" s="716">
        <f>+'4 Capital Markets Canada'!BG51+'5 CG - US'!BG51</f>
        <v>309055</v>
      </c>
      <c r="BC59" s="716">
        <f>+'4 Capital Markets Canada'!BH51+'5 CG - US'!BH51</f>
        <v>250254</v>
      </c>
      <c r="BD59" s="716">
        <f>+'4 Capital Markets Canada'!BI51+'5 CG - US'!BI51</f>
        <v>293123</v>
      </c>
      <c r="BE59" s="716">
        <v>102282</v>
      </c>
      <c r="BF59" s="716">
        <v>102599</v>
      </c>
      <c r="BG59" s="645">
        <f>BG34</f>
        <v>120138</v>
      </c>
      <c r="BH59" s="720">
        <f>BH34</f>
        <v>125171</v>
      </c>
      <c r="BI59" s="647">
        <f>BI34</f>
        <v>105485</v>
      </c>
      <c r="BJ59" s="647">
        <f>BJ34</f>
        <v>67435</v>
      </c>
      <c r="BK59" s="647">
        <v>154490</v>
      </c>
      <c r="BL59" s="599"/>
      <c r="BN59" s="580"/>
      <c r="BO59" s="580"/>
      <c r="BP59" s="580"/>
      <c r="BQ59" s="580"/>
    </row>
    <row r="60" spans="1:69" ht="24.75" customHeight="1" x14ac:dyDescent="0.2">
      <c r="A60" s="624"/>
      <c r="B60" s="681" t="s">
        <v>179</v>
      </c>
      <c r="C60" s="710">
        <f>I60-M60</f>
        <v>-12641</v>
      </c>
      <c r="D60" s="779">
        <f>IF(OR((C60/M60)&gt;3,(C60/M60)&lt;-3),"n.m.",(C60/M60))</f>
        <v>-0.50590306959619002</v>
      </c>
      <c r="E60" s="718"/>
      <c r="F60" s="712"/>
      <c r="G60" s="283"/>
      <c r="H60" s="712"/>
      <c r="I60" s="713">
        <f>+I58-I59</f>
        <v>12346</v>
      </c>
      <c r="J60" s="712">
        <f>+J58-J59</f>
        <v>14837</v>
      </c>
      <c r="K60" s="283">
        <f t="shared" ref="K60:S60" si="35">+K58-K59</f>
        <v>-2956</v>
      </c>
      <c r="L60" s="712">
        <f t="shared" si="35"/>
        <v>21340</v>
      </c>
      <c r="M60" s="713">
        <f t="shared" si="35"/>
        <v>24987</v>
      </c>
      <c r="N60" s="712">
        <f t="shared" si="35"/>
        <v>25909</v>
      </c>
      <c r="O60" s="712">
        <f t="shared" si="35"/>
        <v>12332</v>
      </c>
      <c r="P60" s="712">
        <f t="shared" si="35"/>
        <v>7119</v>
      </c>
      <c r="Q60" s="713">
        <f t="shared" si="35"/>
        <v>14443</v>
      </c>
      <c r="R60" s="712">
        <f t="shared" si="35"/>
        <v>21409</v>
      </c>
      <c r="S60" s="712">
        <f t="shared" si="35"/>
        <v>29250</v>
      </c>
      <c r="T60" s="712">
        <v>1497</v>
      </c>
      <c r="U60" s="713">
        <v>4934</v>
      </c>
      <c r="V60" s="712">
        <v>19954</v>
      </c>
      <c r="W60" s="712">
        <v>17903</v>
      </c>
      <c r="X60" s="712">
        <v>7769</v>
      </c>
      <c r="Y60" s="713" t="e">
        <f t="shared" ref="Y60:AL60" si="36">Y58-Y59</f>
        <v>#REF!</v>
      </c>
      <c r="Z60" s="712">
        <f t="shared" si="36"/>
        <v>39291</v>
      </c>
      <c r="AA60" s="712">
        <f t="shared" si="36"/>
        <v>48391</v>
      </c>
      <c r="AB60" s="712">
        <f t="shared" si="36"/>
        <v>17319</v>
      </c>
      <c r="AC60" s="713">
        <f t="shared" si="36"/>
        <v>21346</v>
      </c>
      <c r="AD60" s="712">
        <f t="shared" si="36"/>
        <v>10113</v>
      </c>
      <c r="AE60" s="712">
        <f t="shared" si="36"/>
        <v>20118</v>
      </c>
      <c r="AF60" s="712">
        <f>AF58-AF59</f>
        <v>7834</v>
      </c>
      <c r="AG60" s="713">
        <f t="shared" si="36"/>
        <v>7867</v>
      </c>
      <c r="AH60" s="712">
        <f t="shared" si="36"/>
        <v>9250</v>
      </c>
      <c r="AI60" s="712">
        <f t="shared" si="36"/>
        <v>-8958</v>
      </c>
      <c r="AJ60" s="712">
        <f t="shared" si="36"/>
        <v>2822</v>
      </c>
      <c r="AK60" s="713">
        <f t="shared" si="36"/>
        <v>6781</v>
      </c>
      <c r="AL60" s="644">
        <f t="shared" si="36"/>
        <v>7797</v>
      </c>
      <c r="AM60" s="644">
        <v>23235</v>
      </c>
      <c r="AN60" s="644">
        <v>16089</v>
      </c>
      <c r="AO60" s="644">
        <v>48674</v>
      </c>
      <c r="AP60" s="645">
        <v>29246</v>
      </c>
      <c r="AQ60" s="631">
        <v>26110</v>
      </c>
      <c r="AR60" s="631">
        <v>22330</v>
      </c>
      <c r="AS60" s="631">
        <v>33584</v>
      </c>
      <c r="AT60" s="620"/>
      <c r="AU60" s="663">
        <f>AU58-AU59</f>
        <v>43371</v>
      </c>
      <c r="AV60" s="633">
        <f>+AV58-AV59</f>
        <v>33894</v>
      </c>
      <c r="AW60" s="401">
        <f>AZ60-BA60</f>
        <v>-1595</v>
      </c>
      <c r="AX60" s="719">
        <f>IF(OR((AW60/BA60)&gt;3,(AW60/BA60)&lt;-3),"n.m.",(AW60/BA60))</f>
        <v>-2.667090279751852E-2</v>
      </c>
      <c r="AY60" s="624"/>
      <c r="AZ60" s="716">
        <f>+AZ58-AZ59</f>
        <v>58208</v>
      </c>
      <c r="BA60" s="716">
        <f>+SUM(N60:Q60)</f>
        <v>59803</v>
      </c>
      <c r="BB60" s="716">
        <f>+'4 Capital Markets Canada'!BG52+'5 CG - US'!BG52</f>
        <v>48637</v>
      </c>
      <c r="BC60" s="716">
        <f>+'4 Capital Markets Canada'!BH52+'5 CG - US'!BH52</f>
        <v>61538</v>
      </c>
      <c r="BD60" s="716">
        <f>+'4 Capital Markets Canada'!BI52+'5 CG - US'!BI52</f>
        <v>151616</v>
      </c>
      <c r="BE60" s="716">
        <v>75299</v>
      </c>
      <c r="BF60" s="716">
        <v>20251</v>
      </c>
      <c r="BG60" s="721">
        <f>BG58-BG59</f>
        <v>56517</v>
      </c>
      <c r="BH60" s="722">
        <f>BH58-BH59</f>
        <v>62391</v>
      </c>
      <c r="BI60" s="723">
        <f>BI58-BI59</f>
        <v>44985</v>
      </c>
      <c r="BJ60" s="723">
        <f>BJ58-BJ59</f>
        <v>28124</v>
      </c>
      <c r="BK60" s="723">
        <v>57268</v>
      </c>
      <c r="BL60" s="599"/>
      <c r="BN60" s="580"/>
      <c r="BO60" s="580"/>
      <c r="BP60" s="580"/>
      <c r="BQ60" s="580"/>
    </row>
    <row r="61" spans="1:69" ht="24.75" customHeight="1" x14ac:dyDescent="0.2">
      <c r="A61" s="624"/>
      <c r="B61" s="681" t="s">
        <v>353</v>
      </c>
      <c r="C61" s="724" t="e">
        <f>I61-M61</f>
        <v>#REF!</v>
      </c>
      <c r="D61" s="725" t="e">
        <f>IF(OR((C61/M61)&gt;3,(C61/M61)&lt;-3),"n.m.",(C61/M61))</f>
        <v>#REF!</v>
      </c>
      <c r="E61" s="718"/>
      <c r="F61" s="632"/>
      <c r="G61" s="632"/>
      <c r="H61" s="632"/>
      <c r="I61" s="726" t="e">
        <f>+I60-I40</f>
        <v>#REF!</v>
      </c>
      <c r="J61" s="632" t="e">
        <f t="shared" ref="J61:S61" si="37">+J60-J40</f>
        <v>#REF!</v>
      </c>
      <c r="K61" s="837" t="e">
        <f t="shared" si="37"/>
        <v>#REF!</v>
      </c>
      <c r="L61" s="632" t="e">
        <f t="shared" si="37"/>
        <v>#REF!</v>
      </c>
      <c r="M61" s="726" t="e">
        <f t="shared" si="37"/>
        <v>#REF!</v>
      </c>
      <c r="N61" s="632" t="e">
        <f t="shared" si="37"/>
        <v>#REF!</v>
      </c>
      <c r="O61" s="632" t="e">
        <f t="shared" si="37"/>
        <v>#REF!</v>
      </c>
      <c r="P61" s="632" t="e">
        <f t="shared" si="37"/>
        <v>#REF!</v>
      </c>
      <c r="Q61" s="726" t="e">
        <f t="shared" si="37"/>
        <v>#REF!</v>
      </c>
      <c r="R61" s="632" t="e">
        <f t="shared" si="37"/>
        <v>#REF!</v>
      </c>
      <c r="S61" s="632" t="e">
        <f t="shared" si="37"/>
        <v>#REF!</v>
      </c>
      <c r="T61" s="837">
        <v>-1021</v>
      </c>
      <c r="U61" s="726">
        <v>2020</v>
      </c>
      <c r="V61" s="632">
        <v>16847</v>
      </c>
      <c r="W61" s="632">
        <v>15288</v>
      </c>
      <c r="X61" s="632">
        <v>4665</v>
      </c>
      <c r="Y61" s="726" t="e">
        <f>+Y60-Y40</f>
        <v>#REF!</v>
      </c>
      <c r="Z61" s="632">
        <f>+Z60-Z40</f>
        <v>37731</v>
      </c>
      <c r="AA61" s="632">
        <f>+AA60-AA40</f>
        <v>46595</v>
      </c>
      <c r="AB61" s="632"/>
      <c r="AC61" s="726"/>
      <c r="AD61" s="632"/>
      <c r="AE61" s="632"/>
      <c r="AF61" s="632"/>
      <c r="AG61" s="726"/>
      <c r="AH61" s="632"/>
      <c r="AI61" s="632"/>
      <c r="AJ61" s="632"/>
      <c r="AK61" s="726"/>
      <c r="AL61" s="630"/>
      <c r="AM61" s="630"/>
      <c r="AN61" s="630"/>
      <c r="AO61" s="630"/>
      <c r="AP61" s="721"/>
      <c r="AQ61" s="654"/>
      <c r="AR61" s="654"/>
      <c r="AS61" s="654"/>
      <c r="AT61" s="620"/>
      <c r="AU61" s="632" t="e">
        <f>+AU60-AU40</f>
        <v>#REF!</v>
      </c>
      <c r="AV61" s="632" t="e">
        <f>+AV60-AV40</f>
        <v>#REF!</v>
      </c>
      <c r="AW61" s="841" t="e">
        <f>AZ61-BA61</f>
        <v>#REF!</v>
      </c>
      <c r="AX61" s="725" t="e">
        <f>IF(OR((AW61/BA61)&gt;3,(AW61/BA61)&lt;-3),"n.m.",(AW61/BA61))</f>
        <v>#REF!</v>
      </c>
      <c r="AY61" s="624"/>
      <c r="AZ61" s="727" t="e">
        <f>+AZ60-AZ40</f>
        <v>#REF!</v>
      </c>
      <c r="BA61" s="727" t="e">
        <f>+SUM(N61:Q61)</f>
        <v>#REF!</v>
      </c>
      <c r="BB61" s="727">
        <f>+'4 Capital Markets Canada'!BG53+'5 CG - US'!BG53</f>
        <v>38335</v>
      </c>
      <c r="BC61" s="727">
        <f>+'4 Capital Markets Canada'!BH53+'5 CG - US'!BH53</f>
        <v>49671</v>
      </c>
      <c r="BD61" s="727">
        <f>+'4 Capital Markets Canada'!BI53+'5 CG - US'!BI53</f>
        <v>140713</v>
      </c>
      <c r="BE61" s="727">
        <v>65726</v>
      </c>
      <c r="BF61" s="727">
        <v>20251</v>
      </c>
      <c r="BG61" s="644"/>
      <c r="BH61" s="644"/>
      <c r="BI61" s="658"/>
      <c r="BJ61" s="658"/>
      <c r="BK61" s="658"/>
      <c r="BL61" s="580"/>
      <c r="BN61" s="580"/>
      <c r="BO61" s="580"/>
      <c r="BP61" s="580"/>
      <c r="BQ61" s="580"/>
    </row>
    <row r="62" spans="1:69" ht="12.75" customHeight="1" x14ac:dyDescent="0.2">
      <c r="A62" s="624"/>
      <c r="B62" s="623"/>
      <c r="C62" s="728"/>
      <c r="D62" s="698"/>
      <c r="E62" s="698"/>
      <c r="F62" s="698"/>
      <c r="G62" s="589"/>
      <c r="H62" s="589"/>
      <c r="I62" s="623"/>
      <c r="J62" s="698"/>
      <c r="K62" s="589"/>
      <c r="L62" s="589"/>
      <c r="M62" s="623"/>
      <c r="N62" s="698"/>
      <c r="O62" s="589"/>
      <c r="P62" s="589"/>
      <c r="Q62" s="623"/>
      <c r="R62" s="698"/>
      <c r="S62" s="589"/>
      <c r="T62" s="589"/>
      <c r="U62" s="623"/>
      <c r="V62" s="698"/>
      <c r="W62" s="698"/>
      <c r="X62" s="589"/>
      <c r="Y62" s="623"/>
      <c r="Z62" s="698"/>
      <c r="AA62" s="698"/>
      <c r="AB62" s="698"/>
      <c r="AC62" s="623"/>
      <c r="AD62" s="698"/>
      <c r="AE62" s="698"/>
      <c r="AF62" s="698"/>
      <c r="AG62" s="623"/>
      <c r="AH62" s="698"/>
      <c r="AI62" s="698"/>
      <c r="AJ62" s="698"/>
      <c r="AK62" s="623"/>
      <c r="AL62" s="624"/>
      <c r="AM62" s="624"/>
      <c r="AN62" s="624"/>
      <c r="AO62" s="624"/>
      <c r="AP62" s="624"/>
      <c r="AQ62" s="624"/>
      <c r="AR62" s="624"/>
      <c r="AS62" s="624"/>
      <c r="AT62" s="623"/>
      <c r="AU62" s="698"/>
      <c r="AV62" s="698"/>
      <c r="AW62" s="729"/>
      <c r="AX62" s="730"/>
      <c r="AY62" s="623"/>
      <c r="AZ62" s="623"/>
      <c r="BA62" s="623"/>
      <c r="BB62" s="623"/>
      <c r="BC62" s="623"/>
      <c r="BD62" s="623"/>
      <c r="BE62" s="623"/>
      <c r="BF62" s="623"/>
      <c r="BG62" s="624"/>
      <c r="BH62" s="624"/>
      <c r="BI62" s="658"/>
      <c r="BJ62" s="658"/>
      <c r="BK62" s="658"/>
      <c r="BL62" s="580"/>
      <c r="BN62" s="580"/>
      <c r="BO62" s="580"/>
      <c r="BP62" s="580"/>
      <c r="BQ62" s="580"/>
    </row>
    <row r="63" spans="1:69" ht="12.75" customHeight="1" x14ac:dyDescent="0.2">
      <c r="A63" s="624"/>
      <c r="B63" s="693" t="s">
        <v>77</v>
      </c>
      <c r="C63" s="731">
        <f>(I63-M63)*100</f>
        <v>7.6015350615617034</v>
      </c>
      <c r="D63" s="698"/>
      <c r="E63" s="698"/>
      <c r="F63" s="698"/>
      <c r="G63" s="698"/>
      <c r="H63" s="698"/>
      <c r="I63" s="698">
        <f>(I59-I19-I20)/I58</f>
        <v>0.3424268608813727</v>
      </c>
      <c r="J63" s="698">
        <f t="shared" ref="J63:S63" si="38">(J59-J19-J20)/J58</f>
        <v>0.28832997795948745</v>
      </c>
      <c r="K63" s="698">
        <f t="shared" si="38"/>
        <v>0.47539382265942076</v>
      </c>
      <c r="L63" s="698">
        <f t="shared" si="38"/>
        <v>0.27479565027003355</v>
      </c>
      <c r="M63" s="698">
        <f t="shared" si="38"/>
        <v>0.26641151026575566</v>
      </c>
      <c r="N63" s="698">
        <f t="shared" si="38"/>
        <v>0.26571328610163564</v>
      </c>
      <c r="O63" s="698">
        <f t="shared" si="38"/>
        <v>0.31016616044309453</v>
      </c>
      <c r="P63" s="698">
        <f t="shared" si="38"/>
        <v>0.34151785714285715</v>
      </c>
      <c r="Q63" s="698">
        <f t="shared" si="38"/>
        <v>0.31798539363796258</v>
      </c>
      <c r="R63" s="698">
        <f t="shared" si="38"/>
        <v>0.22968045481278182</v>
      </c>
      <c r="S63" s="698">
        <f t="shared" si="38"/>
        <v>0.23003357322557175</v>
      </c>
      <c r="T63" s="698">
        <v>0.3457469318662717</v>
      </c>
      <c r="U63" s="698">
        <v>0.33334269032113184</v>
      </c>
      <c r="V63" s="698">
        <v>0.18522378390558544</v>
      </c>
      <c r="W63" s="698">
        <v>0.19358294404832987</v>
      </c>
      <c r="X63" s="698">
        <v>0.32216234026029039</v>
      </c>
      <c r="Y63" s="698" t="e">
        <f>(Y59-Y19-Y20)/Y58</f>
        <v>#REF!</v>
      </c>
      <c r="Z63" s="698">
        <f>(Z59-Z19-Z20)/Z58</f>
        <v>0.1049846556548425</v>
      </c>
      <c r="AA63" s="698">
        <f>(AA59-AA19-AA20)/AA15</f>
        <v>0.10878030053745749</v>
      </c>
      <c r="AB63" s="698">
        <f>(AB59-AB19-AB20)/AB15</f>
        <v>0.1807689995792342</v>
      </c>
      <c r="AC63" s="698">
        <f>(AC59-AC19-AC20)/AC15</f>
        <v>0.15194978984865334</v>
      </c>
      <c r="AD63" s="698">
        <v>0.1537803312755944</v>
      </c>
      <c r="AE63" s="698">
        <v>0.10480982581197477</v>
      </c>
      <c r="AF63" s="698">
        <v>0.15381132075471698</v>
      </c>
      <c r="AG63" s="698">
        <v>0.14983030545018966</v>
      </c>
      <c r="AH63" s="698">
        <f>(AH22+AH23+AH24+AH25+AH26+AH27+AH28)/AH15</f>
        <v>0.11488834738145648</v>
      </c>
      <c r="AI63" s="698">
        <f>(AI22+AI23+AI24+AI25+AI26+AI27+AI28)/AI15</f>
        <v>0.45581137748239575</v>
      </c>
      <c r="AJ63" s="698">
        <f>(AJ22+AJ23+AJ24+AJ25+AJ26+AJ27+AJ28)/AJ15</f>
        <v>0.28570819658156088</v>
      </c>
      <c r="AK63" s="698">
        <f>(AK22+AK23+AK24+AK25+AK26+AK27+AK28)/AK15</f>
        <v>0.21975430833721471</v>
      </c>
      <c r="AL63" s="698">
        <f>(AL22+AL23+AL24+AL25+AL26+AL27+AL28)/AL15</f>
        <v>0.22119959929877286</v>
      </c>
      <c r="AM63" s="695">
        <v>0.22941514650995137</v>
      </c>
      <c r="AN63" s="695">
        <v>0.30967430476810637</v>
      </c>
      <c r="AO63" s="695">
        <v>0.16900000000000004</v>
      </c>
      <c r="AP63" s="695">
        <v>0.21100000000000008</v>
      </c>
      <c r="AQ63" s="695">
        <v>0.20399999999999996</v>
      </c>
      <c r="AR63" s="695">
        <v>0.249</v>
      </c>
      <c r="AS63" s="695">
        <v>0.17899999999999994</v>
      </c>
      <c r="AT63" s="623"/>
      <c r="AU63" s="698">
        <f>(AU59-AU19-AU20)/AU58</f>
        <v>0.31962014863748966</v>
      </c>
      <c r="AV63" s="698">
        <f>(AV59-AV19-AV20)/AV58</f>
        <v>0.32225763855921552</v>
      </c>
      <c r="AW63" s="691">
        <f>(AZ63-BA63)*100</f>
        <v>0.70275559884178107</v>
      </c>
      <c r="AX63" s="730"/>
      <c r="AY63" s="623"/>
      <c r="AZ63" s="698">
        <f t="shared" ref="AZ63:BE63" si="39">(AZ59-AZ19-AZ20)/AZ58</f>
        <v>0.31157359584058181</v>
      </c>
      <c r="BA63" s="698">
        <f t="shared" si="39"/>
        <v>0.304546039852164</v>
      </c>
      <c r="BB63" s="698">
        <f t="shared" si="39"/>
        <v>0.30399337977925145</v>
      </c>
      <c r="BC63" s="698">
        <f t="shared" si="39"/>
        <v>0.27171640067737468</v>
      </c>
      <c r="BD63" s="698">
        <f t="shared" si="39"/>
        <v>0.17796505366068638</v>
      </c>
      <c r="BE63" s="698">
        <f t="shared" si="39"/>
        <v>2.628096474284974E-2</v>
      </c>
      <c r="BF63" s="695">
        <v>0.25467643467643469</v>
      </c>
      <c r="BG63" s="695">
        <f>(BG22+BG23+BG24+BG25+BG26+BG27+BG28)/BG15</f>
        <v>0.1641504627664091</v>
      </c>
      <c r="BH63" s="695">
        <f>(BH22+BH23+BH24+BH25+BH26+BH27+BH28)/BH15</f>
        <v>0.13159381964363784</v>
      </c>
      <c r="BI63" s="693">
        <f>(BI22+BI23+BI24+BI25+BI26+BI27+BI28)/BI15</f>
        <v>0.13831328504020735</v>
      </c>
      <c r="BJ63" s="693">
        <f>(BJ22+BJ23+BJ24+BJ25+BJ26+BJ27+BJ28)/BJ15</f>
        <v>0.13580091880408962</v>
      </c>
      <c r="BK63" s="693">
        <v>0.10299999999999998</v>
      </c>
      <c r="BL63" s="580"/>
      <c r="BN63" s="580"/>
      <c r="BO63" s="580"/>
      <c r="BP63" s="580"/>
      <c r="BQ63" s="580"/>
    </row>
    <row r="64" spans="1:69" ht="12.75" customHeight="1" x14ac:dyDescent="0.2">
      <c r="A64" s="624"/>
      <c r="B64" s="693" t="s">
        <v>78</v>
      </c>
      <c r="C64" s="731">
        <f>(I64-M64)*100</f>
        <v>6.8902488341531676</v>
      </c>
      <c r="D64" s="698"/>
      <c r="E64" s="698"/>
      <c r="F64" s="698"/>
      <c r="G64" s="698"/>
      <c r="H64" s="698"/>
      <c r="I64" s="698">
        <f>I59/I58</f>
        <v>0.86145369258565163</v>
      </c>
      <c r="J64" s="698">
        <f t="shared" ref="J64:S64" si="40">J59/J58</f>
        <v>0.85843502819468165</v>
      </c>
      <c r="K64" s="698">
        <f t="shared" si="40"/>
        <v>1.0406686386462132</v>
      </c>
      <c r="L64" s="698">
        <f t="shared" si="40"/>
        <v>0.80532039118376875</v>
      </c>
      <c r="M64" s="698">
        <f t="shared" si="40"/>
        <v>0.79255120424411996</v>
      </c>
      <c r="N64" s="698">
        <f t="shared" si="40"/>
        <v>0.77338406367532586</v>
      </c>
      <c r="O64" s="698">
        <f t="shared" si="40"/>
        <v>0.86229229944613184</v>
      </c>
      <c r="P64" s="698">
        <f t="shared" si="40"/>
        <v>0.9054129464285714</v>
      </c>
      <c r="Q64" s="698">
        <f t="shared" si="40"/>
        <v>0.83177058460391595</v>
      </c>
      <c r="R64" s="698">
        <f t="shared" si="40"/>
        <v>0.79014899039404041</v>
      </c>
      <c r="S64" s="698">
        <f t="shared" si="40"/>
        <v>0.74359873421050326</v>
      </c>
      <c r="T64" s="698">
        <v>0.95776555226407112</v>
      </c>
      <c r="U64" s="698">
        <v>0.86149786660678196</v>
      </c>
      <c r="V64" s="698">
        <v>0.71898149452158977</v>
      </c>
      <c r="W64" s="698">
        <v>0.68559235713533073</v>
      </c>
      <c r="X64" s="698">
        <v>0.8171612812124921</v>
      </c>
      <c r="Y64" s="698" t="e">
        <f>Y59/Y58</f>
        <v>#REF!</v>
      </c>
      <c r="Z64" s="698">
        <f>Z59/Z58</f>
        <v>0.55669509883563495</v>
      </c>
      <c r="AA64" s="698">
        <f>AA59/AA58</f>
        <v>0.55768527658952138</v>
      </c>
      <c r="AB64" s="698">
        <f>AB59/AB58</f>
        <v>0.65298843895890524</v>
      </c>
      <c r="AC64" s="698">
        <f>AC59/AC58</f>
        <v>0.59767796897676084</v>
      </c>
      <c r="AD64" s="698">
        <v>0.69350895422040215</v>
      </c>
      <c r="AE64" s="698">
        <v>0.66254345965022621</v>
      </c>
      <c r="AF64" s="698">
        <v>0.73509433962264148</v>
      </c>
      <c r="AG64" s="698">
        <v>0.73823783855726355</v>
      </c>
      <c r="AH64" s="698">
        <f>AH59/AH58</f>
        <v>0.63048775616186636</v>
      </c>
      <c r="AI64" s="698">
        <f>AI59/AI58</f>
        <v>1.7087586043199621</v>
      </c>
      <c r="AJ64" s="698">
        <f>AJ59/AJ58</f>
        <v>0.87971527215378709</v>
      </c>
      <c r="AK64" s="698">
        <f>AK59/AK58</f>
        <v>0.80260246856078243</v>
      </c>
      <c r="AL64" s="698">
        <f>AL59/AL58</f>
        <v>0.75591660405709993</v>
      </c>
      <c r="AM64" s="695">
        <v>0.78796893678764046</v>
      </c>
      <c r="AN64" s="695">
        <v>0.81936881813384832</v>
      </c>
      <c r="AO64" s="695">
        <v>0.68600000000000005</v>
      </c>
      <c r="AP64" s="695">
        <v>0.77500000000000002</v>
      </c>
      <c r="AQ64" s="695">
        <v>0.74299999999999999</v>
      </c>
      <c r="AR64" s="695">
        <v>0.76</v>
      </c>
      <c r="AS64" s="695">
        <v>0.73199999999999998</v>
      </c>
      <c r="AT64" s="623"/>
      <c r="AU64" s="698">
        <f>AU59/AU58</f>
        <v>0.85674318744838973</v>
      </c>
      <c r="AV64" s="698">
        <f>AV59/AV58</f>
        <v>0.86478583311059609</v>
      </c>
      <c r="AW64" s="691">
        <f>(AZ64-BA64)*100</f>
        <v>2.1022544232976226</v>
      </c>
      <c r="AX64" s="730"/>
      <c r="AY64" s="623"/>
      <c r="AZ64" s="698">
        <f t="shared" ref="AZ64:BE64" si="41">AZ59/AZ58</f>
        <v>0.85717825972808714</v>
      </c>
      <c r="BA64" s="698">
        <f t="shared" si="41"/>
        <v>0.83615571549511092</v>
      </c>
      <c r="BB64" s="698">
        <f t="shared" si="41"/>
        <v>0.86402547443051569</v>
      </c>
      <c r="BC64" s="698">
        <f t="shared" si="41"/>
        <v>0.80263124134038077</v>
      </c>
      <c r="BD64" s="698">
        <f t="shared" si="41"/>
        <v>0.65908993814349537</v>
      </c>
      <c r="BE64" s="698">
        <f t="shared" si="41"/>
        <v>0.5759737809788209</v>
      </c>
      <c r="BF64" s="695">
        <v>0.83515669515669511</v>
      </c>
      <c r="BG64" s="695">
        <f>BG59/BG58</f>
        <v>0.68007132546488924</v>
      </c>
      <c r="BH64" s="695">
        <f>BH59/BH58</f>
        <v>0.66735799362344184</v>
      </c>
      <c r="BI64" s="693">
        <f>BI59/BI58</f>
        <v>0.70103675151192923</v>
      </c>
      <c r="BJ64" s="693">
        <f>BJ59/BJ58</f>
        <v>0.70568967862786336</v>
      </c>
      <c r="BK64" s="693">
        <v>0.73</v>
      </c>
      <c r="BL64" s="580"/>
      <c r="BN64" s="580"/>
      <c r="BO64" s="580"/>
      <c r="BP64" s="580"/>
      <c r="BQ64" s="580"/>
    </row>
    <row r="65" spans="1:64" ht="12.75" customHeight="1" x14ac:dyDescent="0.2">
      <c r="A65" s="624"/>
      <c r="B65" s="693" t="s">
        <v>178</v>
      </c>
      <c r="C65" s="731">
        <f>(I65-M65)*100</f>
        <v>-6.8902488341531676</v>
      </c>
      <c r="D65" s="698"/>
      <c r="E65" s="698"/>
      <c r="F65" s="698"/>
      <c r="G65" s="698"/>
      <c r="H65" s="698"/>
      <c r="I65" s="698">
        <f>I60/I58</f>
        <v>0.1385463074143484</v>
      </c>
      <c r="J65" s="698">
        <f t="shared" ref="J65:S65" si="42">J60/J58</f>
        <v>0.14156497180531835</v>
      </c>
      <c r="K65" s="698">
        <f t="shared" si="42"/>
        <v>-4.0668638646213111E-2</v>
      </c>
      <c r="L65" s="698">
        <f t="shared" si="42"/>
        <v>0.1946796088162312</v>
      </c>
      <c r="M65" s="698">
        <f t="shared" si="42"/>
        <v>0.20744879575588007</v>
      </c>
      <c r="N65" s="698">
        <f t="shared" si="42"/>
        <v>0.22661593632467419</v>
      </c>
      <c r="O65" s="698">
        <f t="shared" si="42"/>
        <v>0.13770770055386813</v>
      </c>
      <c r="P65" s="698">
        <f t="shared" si="42"/>
        <v>9.4587053571428575E-2</v>
      </c>
      <c r="Q65" s="698">
        <f t="shared" si="42"/>
        <v>0.16822941539608399</v>
      </c>
      <c r="R65" s="698">
        <f t="shared" si="42"/>
        <v>0.20985100960595962</v>
      </c>
      <c r="S65" s="698">
        <f t="shared" si="42"/>
        <v>0.25640126578949674</v>
      </c>
      <c r="T65" s="698">
        <v>4.2234447735928903E-2</v>
      </c>
      <c r="U65" s="698">
        <v>0.13850213339321807</v>
      </c>
      <c r="V65" s="698">
        <v>0.28101850547841029</v>
      </c>
      <c r="W65" s="698">
        <v>0.31440764286466932</v>
      </c>
      <c r="X65" s="698">
        <v>0.18283871878750793</v>
      </c>
      <c r="Y65" s="698" t="e">
        <f>Y60/Y58</f>
        <v>#REF!</v>
      </c>
      <c r="Z65" s="698">
        <f>Z60/Z58</f>
        <v>0.443304901164365</v>
      </c>
      <c r="AA65" s="698">
        <f>AA60/AA58</f>
        <v>0.44231472341047862</v>
      </c>
      <c r="AB65" s="698">
        <f>AB60/AB58</f>
        <v>0.34701156104109482</v>
      </c>
      <c r="AC65" s="698">
        <f>AC60/AC58</f>
        <v>0.40232203102323916</v>
      </c>
      <c r="AD65" s="698">
        <v>0.30649104577959785</v>
      </c>
      <c r="AE65" s="698">
        <v>0.33745654034977374</v>
      </c>
      <c r="AF65" s="698">
        <v>0.26490566037735847</v>
      </c>
      <c r="AG65" s="698">
        <v>0.2617621614427364</v>
      </c>
      <c r="AH65" s="698">
        <f>AH60/AH58</f>
        <v>0.36951224383813364</v>
      </c>
      <c r="AI65" s="698">
        <f>AI60/AI58</f>
        <v>-0.70875860431996207</v>
      </c>
      <c r="AJ65" s="698">
        <f>AJ60/AJ58</f>
        <v>0.12028472784621286</v>
      </c>
      <c r="AK65" s="698">
        <f>AK60/AK58</f>
        <v>0.19739753143921751</v>
      </c>
      <c r="AL65" s="698">
        <f>AL60/AL58</f>
        <v>0.24408339594290007</v>
      </c>
      <c r="AM65" s="695">
        <v>0.21203106321235959</v>
      </c>
      <c r="AN65" s="695">
        <v>0.18063118186615174</v>
      </c>
      <c r="AO65" s="695">
        <v>0.31399999999999995</v>
      </c>
      <c r="AP65" s="695">
        <v>0.22500000000000001</v>
      </c>
      <c r="AQ65" s="695">
        <v>0.25700000000000001</v>
      </c>
      <c r="AR65" s="695">
        <v>0.24</v>
      </c>
      <c r="AS65" s="695">
        <v>0.26800000000000002</v>
      </c>
      <c r="AT65" s="623"/>
      <c r="AU65" s="698">
        <f>AU60/AU58</f>
        <v>0.14325681255161024</v>
      </c>
      <c r="AV65" s="698">
        <f>AV60/AV58</f>
        <v>0.13521416688940396</v>
      </c>
      <c r="AW65" s="691">
        <f>(AZ65-BA65)*100</f>
        <v>-2.1022544232976168</v>
      </c>
      <c r="AX65" s="730"/>
      <c r="AY65" s="623"/>
      <c r="AZ65" s="698">
        <f t="shared" ref="AZ65:BE65" si="43">AZ60/AZ58</f>
        <v>0.14282174027191288</v>
      </c>
      <c r="BA65" s="698">
        <f t="shared" si="43"/>
        <v>0.16384428450488905</v>
      </c>
      <c r="BB65" s="698">
        <f t="shared" si="43"/>
        <v>0.13597452556948436</v>
      </c>
      <c r="BC65" s="698">
        <f t="shared" si="43"/>
        <v>0.19736875865961923</v>
      </c>
      <c r="BD65" s="698">
        <f t="shared" si="43"/>
        <v>0.34091006185650458</v>
      </c>
      <c r="BE65" s="698">
        <f t="shared" si="43"/>
        <v>0.42402621902117904</v>
      </c>
      <c r="BF65" s="695">
        <v>0.16484330484330484</v>
      </c>
      <c r="BG65" s="695">
        <f>BG60/BG58</f>
        <v>0.31992867453511081</v>
      </c>
      <c r="BH65" s="695">
        <f>BH60/BH58</f>
        <v>0.33264200637655816</v>
      </c>
      <c r="BI65" s="693">
        <f>BI60/BI58</f>
        <v>0.29896324848807071</v>
      </c>
      <c r="BJ65" s="693">
        <f>BJ60/BJ58</f>
        <v>0.29431032137213659</v>
      </c>
      <c r="BK65" s="693">
        <v>0.27</v>
      </c>
    </row>
    <row r="66" spans="1:64" ht="12.75" customHeight="1" x14ac:dyDescent="0.2">
      <c r="A66" s="624"/>
      <c r="B66" s="693"/>
      <c r="C66" s="731"/>
      <c r="D66" s="698"/>
      <c r="E66" s="698"/>
      <c r="F66" s="698"/>
      <c r="G66" s="698"/>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5"/>
      <c r="AN66" s="695"/>
      <c r="AO66" s="695"/>
      <c r="AP66" s="695"/>
      <c r="AQ66" s="695"/>
      <c r="AR66" s="695"/>
      <c r="AS66" s="695"/>
      <c r="AT66" s="623"/>
      <c r="AU66" s="698"/>
      <c r="AV66" s="698"/>
      <c r="AW66" s="691"/>
      <c r="AX66" s="730"/>
      <c r="AY66" s="623"/>
      <c r="AZ66" s="695"/>
      <c r="BA66" s="695"/>
      <c r="BB66" s="695"/>
      <c r="BC66" s="695"/>
      <c r="BD66" s="695"/>
      <c r="BE66" s="695"/>
      <c r="BF66" s="695"/>
      <c r="BG66" s="695"/>
      <c r="BH66" s="695"/>
      <c r="BI66" s="693"/>
      <c r="BJ66" s="693"/>
      <c r="BK66" s="693"/>
    </row>
    <row r="67" spans="1:64" ht="12.75" customHeight="1" x14ac:dyDescent="0.2">
      <c r="A67" s="732" t="s">
        <v>190</v>
      </c>
      <c r="B67" s="693"/>
      <c r="C67" s="623"/>
      <c r="D67" s="623"/>
      <c r="E67" s="623"/>
      <c r="F67" s="623"/>
      <c r="G67" s="623"/>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3"/>
      <c r="AF67" s="623"/>
      <c r="AG67" s="623"/>
      <c r="AH67" s="623"/>
      <c r="AI67" s="623"/>
      <c r="AJ67" s="623"/>
      <c r="AK67" s="623"/>
      <c r="AL67" s="623"/>
      <c r="AM67" s="623"/>
      <c r="AN67" s="623"/>
      <c r="AO67" s="589"/>
      <c r="AP67" s="623"/>
      <c r="AQ67" s="589"/>
      <c r="AR67" s="589"/>
      <c r="AS67" s="623"/>
      <c r="AT67" s="623"/>
      <c r="AU67" s="623"/>
      <c r="AV67" s="623"/>
      <c r="AW67" s="700"/>
      <c r="AX67" s="700"/>
      <c r="AY67" s="623"/>
      <c r="AZ67" s="623"/>
      <c r="BA67" s="623"/>
      <c r="BB67" s="623"/>
      <c r="BC67" s="623"/>
      <c r="BD67" s="623"/>
      <c r="BE67" s="623"/>
      <c r="BF67" s="623"/>
      <c r="BG67" s="623"/>
      <c r="BH67" s="623"/>
      <c r="BI67" s="658"/>
      <c r="BJ67" s="693"/>
      <c r="BK67" s="693"/>
    </row>
    <row r="68" spans="1:64" ht="12.75" customHeight="1" x14ac:dyDescent="0.2">
      <c r="C68" s="2467" t="s">
        <v>396</v>
      </c>
      <c r="D68" s="2468"/>
      <c r="E68" s="590"/>
      <c r="F68" s="593"/>
      <c r="G68" s="591"/>
      <c r="H68" s="591"/>
      <c r="I68" s="592"/>
      <c r="J68" s="593"/>
      <c r="K68" s="591"/>
      <c r="L68" s="591"/>
      <c r="M68" s="592"/>
      <c r="N68" s="593"/>
      <c r="O68" s="591"/>
      <c r="P68" s="591"/>
      <c r="Q68" s="592"/>
      <c r="R68" s="593"/>
      <c r="S68" s="591"/>
      <c r="T68" s="591"/>
      <c r="U68" s="592"/>
      <c r="V68" s="591"/>
      <c r="W68" s="591"/>
      <c r="X68" s="591"/>
      <c r="Y68" s="592"/>
      <c r="Z68" s="591"/>
      <c r="AA68" s="592"/>
      <c r="AC68" s="592"/>
      <c r="AD68" s="591"/>
      <c r="AE68" s="591"/>
      <c r="AG68" s="592"/>
      <c r="AI68" s="591"/>
      <c r="AJ68" s="591"/>
      <c r="AK68" s="592"/>
      <c r="AL68" s="591"/>
      <c r="AM68" s="591"/>
      <c r="AN68" s="591"/>
      <c r="AO68" s="591"/>
      <c r="AP68" s="593"/>
      <c r="AQ68" s="592"/>
      <c r="AR68" s="592"/>
      <c r="AS68" s="592"/>
      <c r="AT68" s="599"/>
      <c r="AU68" s="438" t="s">
        <v>311</v>
      </c>
      <c r="AV68" s="438"/>
      <c r="AW68" s="438" t="s">
        <v>380</v>
      </c>
      <c r="AX68" s="439"/>
      <c r="AY68" s="623"/>
      <c r="AZ68" s="596"/>
      <c r="BA68" s="596"/>
      <c r="BB68" s="596"/>
      <c r="BC68" s="596"/>
      <c r="BD68" s="596"/>
      <c r="BE68" s="596"/>
      <c r="BF68" s="596"/>
      <c r="BG68" s="706"/>
      <c r="BH68" s="707"/>
      <c r="BI68" s="596"/>
      <c r="BJ68" s="693"/>
      <c r="BK68" s="693"/>
      <c r="BL68" s="599"/>
    </row>
    <row r="69" spans="1:64" ht="12.75" customHeight="1" x14ac:dyDescent="0.2">
      <c r="C69" s="2469" t="s">
        <v>39</v>
      </c>
      <c r="D69" s="2470"/>
      <c r="E69" s="600"/>
      <c r="F69" s="19"/>
      <c r="G69" s="19"/>
      <c r="H69" s="19"/>
      <c r="I69" s="12" t="s">
        <v>395</v>
      </c>
      <c r="J69" s="19" t="s">
        <v>373</v>
      </c>
      <c r="K69" s="19" t="s">
        <v>374</v>
      </c>
      <c r="L69" s="19" t="s">
        <v>375</v>
      </c>
      <c r="M69" s="12" t="s">
        <v>376</v>
      </c>
      <c r="N69" s="603" t="s">
        <v>330</v>
      </c>
      <c r="O69" s="601" t="s">
        <v>329</v>
      </c>
      <c r="P69" s="601" t="s">
        <v>328</v>
      </c>
      <c r="Q69" s="602" t="s">
        <v>326</v>
      </c>
      <c r="R69" s="603" t="s">
        <v>282</v>
      </c>
      <c r="S69" s="601" t="s">
        <v>283</v>
      </c>
      <c r="T69" s="601" t="s">
        <v>284</v>
      </c>
      <c r="U69" s="602" t="s">
        <v>285</v>
      </c>
      <c r="V69" s="601" t="s">
        <v>220</v>
      </c>
      <c r="W69" s="601" t="s">
        <v>221</v>
      </c>
      <c r="X69" s="601" t="s">
        <v>222</v>
      </c>
      <c r="Y69" s="602" t="s">
        <v>219</v>
      </c>
      <c r="Z69" s="601" t="s">
        <v>185</v>
      </c>
      <c r="AA69" s="602" t="s">
        <v>186</v>
      </c>
      <c r="AB69" s="601" t="s">
        <v>187</v>
      </c>
      <c r="AC69" s="602" t="s">
        <v>188</v>
      </c>
      <c r="AD69" s="601" t="s">
        <v>118</v>
      </c>
      <c r="AE69" s="601" t="s">
        <v>117</v>
      </c>
      <c r="AF69" s="601" t="s">
        <v>116</v>
      </c>
      <c r="AG69" s="602" t="s">
        <v>115</v>
      </c>
      <c r="AH69" s="601" t="s">
        <v>83</v>
      </c>
      <c r="AI69" s="601" t="s">
        <v>84</v>
      </c>
      <c r="AJ69" s="601" t="s">
        <v>85</v>
      </c>
      <c r="AK69" s="602" t="s">
        <v>30</v>
      </c>
      <c r="AL69" s="601" t="s">
        <v>31</v>
      </c>
      <c r="AM69" s="601" t="s">
        <v>32</v>
      </c>
      <c r="AN69" s="601" t="s">
        <v>33</v>
      </c>
      <c r="AO69" s="601" t="s">
        <v>34</v>
      </c>
      <c r="AP69" s="603" t="s">
        <v>35</v>
      </c>
      <c r="AQ69" s="602" t="s">
        <v>36</v>
      </c>
      <c r="AR69" s="602" t="s">
        <v>37</v>
      </c>
      <c r="AS69" s="602" t="s">
        <v>38</v>
      </c>
      <c r="AT69" s="880"/>
      <c r="AU69" s="19" t="s">
        <v>374</v>
      </c>
      <c r="AV69" s="19" t="s">
        <v>329</v>
      </c>
      <c r="AW69" s="2471" t="s">
        <v>39</v>
      </c>
      <c r="AX69" s="2472"/>
      <c r="AY69" s="623"/>
      <c r="AZ69" s="18" t="s">
        <v>385</v>
      </c>
      <c r="BA69" s="18" t="s">
        <v>332</v>
      </c>
      <c r="BB69" s="603" t="s">
        <v>287</v>
      </c>
      <c r="BC69" s="603" t="s">
        <v>224</v>
      </c>
      <c r="BD69" s="603" t="s">
        <v>120</v>
      </c>
      <c r="BE69" s="603" t="s">
        <v>119</v>
      </c>
      <c r="BF69" s="603" t="s">
        <v>43</v>
      </c>
      <c r="BG69" s="603" t="s">
        <v>40</v>
      </c>
      <c r="BH69" s="605" t="s">
        <v>41</v>
      </c>
      <c r="BI69" s="605" t="s">
        <v>138</v>
      </c>
      <c r="BJ69" s="693"/>
      <c r="BK69" s="693"/>
      <c r="BL69" s="599"/>
    </row>
    <row r="70" spans="1:64" ht="12.75" customHeight="1" x14ac:dyDescent="0.2">
      <c r="A70" s="624"/>
      <c r="B70" s="6" t="s">
        <v>413</v>
      </c>
      <c r="C70" s="710">
        <f t="shared" ref="C70:C76" si="44">I70-M70</f>
        <v>-2614</v>
      </c>
      <c r="D70" s="711">
        <f t="shared" ref="D70:D76" si="45">IF(OR((C70/M70)&gt;3,(C70/M70)&lt;-3),"n.m.",(C70/M70))</f>
        <v>-8.5149353399133529E-2</v>
      </c>
      <c r="E70" s="622"/>
      <c r="F70" s="712"/>
      <c r="G70" s="712"/>
      <c r="H70" s="712"/>
      <c r="I70" s="733">
        <f>'4 Capital Markets Canada'!M62+'5 CG - US'!M62</f>
        <v>28085</v>
      </c>
      <c r="J70" s="712">
        <f>+'4 Capital Markets Canada'!N62+'5 CG - US'!N62</f>
        <v>31126</v>
      </c>
      <c r="K70" s="712">
        <f>+'4 Capital Markets Canada'!O62+'5 CG - US'!O62</f>
        <v>30234</v>
      </c>
      <c r="L70" s="712">
        <f>+'4 Capital Markets Canada'!P62+'5 CG - US'!P62</f>
        <v>23282</v>
      </c>
      <c r="M70" s="733">
        <f>+'4 Capital Markets Canada'!Q62+'5 CG - US'!Q62</f>
        <v>30699</v>
      </c>
      <c r="N70" s="712">
        <f>+'4 Capital Markets Canada'!R62+'5 CG - US'!R62</f>
        <v>32783</v>
      </c>
      <c r="O70" s="712">
        <f>+'4 Capital Markets Canada'!S62+'5 CG - US'!S62</f>
        <v>30280</v>
      </c>
      <c r="P70" s="712">
        <f>+'4 Capital Markets Canada'!T62+'5 CG - US'!T62</f>
        <v>28143</v>
      </c>
      <c r="Q70" s="733">
        <f>+'4 Capital Markets Canada'!U62+'5 CG - US'!U62</f>
        <v>32478</v>
      </c>
      <c r="R70" s="712">
        <f>+'4 Capital Markets Canada'!V62+'5 CG - US'!V62</f>
        <v>27327</v>
      </c>
      <c r="S70" s="712">
        <f>+'4 Capital Markets Canada'!W62+'5 CG - US'!W62</f>
        <v>30650</v>
      </c>
      <c r="T70" s="712">
        <v>14052</v>
      </c>
      <c r="U70" s="733">
        <v>13723</v>
      </c>
      <c r="V70" s="712">
        <v>19975</v>
      </c>
      <c r="W70" s="712">
        <v>11861</v>
      </c>
      <c r="X70" s="712">
        <v>11610</v>
      </c>
      <c r="Y70" s="712">
        <f>+'3 Canaccord Genuity '!AC67-'6 CG - UK'!AC61-'5 CG - US'!AC62-'7 CG Other Foreign Loc'!AC63</f>
        <v>7890</v>
      </c>
      <c r="Z70" s="734">
        <v>9533</v>
      </c>
      <c r="AA70" s="712">
        <v>17508</v>
      </c>
      <c r="AB70" s="712">
        <v>8721</v>
      </c>
      <c r="AC70" s="712">
        <v>6975</v>
      </c>
      <c r="AD70" s="734">
        <v>8215</v>
      </c>
      <c r="AE70" s="712">
        <v>9418</v>
      </c>
      <c r="AF70" s="712">
        <v>9547</v>
      </c>
      <c r="AG70" s="712">
        <v>8802</v>
      </c>
      <c r="AH70" s="735">
        <v>7648</v>
      </c>
      <c r="AI70" s="714">
        <v>7035</v>
      </c>
      <c r="AJ70" s="736">
        <v>8214</v>
      </c>
      <c r="AK70" s="733">
        <v>8390</v>
      </c>
      <c r="AL70" s="713">
        <v>29584</v>
      </c>
      <c r="AM70" s="623"/>
      <c r="AN70" s="623"/>
      <c r="AO70" s="589"/>
      <c r="AP70" s="623"/>
      <c r="AQ70" s="589"/>
      <c r="AR70" s="589"/>
      <c r="AS70" s="623"/>
      <c r="AT70" s="620"/>
      <c r="AU70" s="663">
        <f t="shared" ref="AU70:AU75" si="46">SUM(K70:M70)</f>
        <v>84215</v>
      </c>
      <c r="AV70" s="633">
        <f t="shared" ref="AV70:AV75" si="47">SUM(O70:Q70)</f>
        <v>90901</v>
      </c>
      <c r="AW70" s="737">
        <f t="shared" ref="AW70:AW76" si="48">AZ70-BA70</f>
        <v>-8343</v>
      </c>
      <c r="AX70" s="672">
        <f t="shared" ref="AX70:AX76" si="49">IF(OR((AW70/BA70)&gt;3,(AW70/BA70)&lt;-3),"n.m.",(AW70/BA70))</f>
        <v>-6.7454157368778495E-2</v>
      </c>
      <c r="AY70" s="623"/>
      <c r="AZ70" s="716">
        <f t="shared" ref="AZ70:AZ75" si="50">+SUM(J70:M70)</f>
        <v>115341</v>
      </c>
      <c r="BA70" s="716">
        <f t="shared" ref="BA70:BA75" si="51">+SUM(N70:Q70)</f>
        <v>123684</v>
      </c>
      <c r="BB70" s="716">
        <f>+'4 Capital Markets Canada'!BG62+'5 CG - US'!BG62</f>
        <v>120007</v>
      </c>
      <c r="BC70" s="716">
        <f>+'4 Capital Markets Canada'!BH62+'5 CG - US'!BH62</f>
        <v>96522</v>
      </c>
      <c r="BD70" s="786">
        <f>+'4 Capital Markets Canada'!BI62+'5 CG - US'!BI62</f>
        <v>116233</v>
      </c>
      <c r="BE70" s="786">
        <v>51815</v>
      </c>
      <c r="BF70" s="786">
        <v>48193</v>
      </c>
      <c r="BG70" s="673">
        <v>44852</v>
      </c>
      <c r="BH70" s="717">
        <v>45773</v>
      </c>
      <c r="BI70" s="676">
        <v>41570</v>
      </c>
      <c r="BJ70" s="693"/>
      <c r="BK70" s="693"/>
      <c r="BL70" s="599"/>
    </row>
    <row r="71" spans="1:64" ht="12.75" customHeight="1" x14ac:dyDescent="0.2">
      <c r="A71" s="624"/>
      <c r="B71" s="6" t="s">
        <v>62</v>
      </c>
      <c r="C71" s="710">
        <f t="shared" si="44"/>
        <v>-17333</v>
      </c>
      <c r="D71" s="779">
        <f t="shared" si="45"/>
        <v>-0.33587179785296284</v>
      </c>
      <c r="E71" s="622"/>
      <c r="F71" s="712"/>
      <c r="G71" s="712"/>
      <c r="H71" s="712"/>
      <c r="I71" s="733">
        <f>'4 Capital Markets Canada'!M63+'5 CG - US'!M63</f>
        <v>34273</v>
      </c>
      <c r="J71" s="712">
        <f>+'4 Capital Markets Canada'!N63+'5 CG - US'!N63</f>
        <v>31380</v>
      </c>
      <c r="K71" s="712">
        <f>+'4 Capital Markets Canada'!O63+'5 CG - US'!O63</f>
        <v>13605</v>
      </c>
      <c r="L71" s="712">
        <f>+'4 Capital Markets Canada'!P63+'5 CG - US'!P63</f>
        <v>45212</v>
      </c>
      <c r="M71" s="733">
        <f>+'4 Capital Markets Canada'!Q63+'5 CG - US'!Q63</f>
        <v>51606</v>
      </c>
      <c r="N71" s="712">
        <f>+'4 Capital Markets Canada'!R63+'5 CG - US'!R63</f>
        <v>45401</v>
      </c>
      <c r="O71" s="712">
        <f>+'4 Capital Markets Canada'!S63+'5 CG - US'!S63</f>
        <v>33080</v>
      </c>
      <c r="P71" s="712">
        <f>+'4 Capital Markets Canada'!T63+'5 CG - US'!T63</f>
        <v>21277</v>
      </c>
      <c r="Q71" s="733">
        <f>+'4 Capital Markets Canada'!U63+'5 CG - US'!U63</f>
        <v>22047</v>
      </c>
      <c r="R71" s="712">
        <f>+'4 Capital Markets Canada'!V63+'5 CG - US'!V63</f>
        <v>22527</v>
      </c>
      <c r="S71" s="712">
        <f>+'4 Capital Markets Canada'!W63+'5 CG - US'!W63</f>
        <v>17601</v>
      </c>
      <c r="T71" s="712">
        <v>10698</v>
      </c>
      <c r="U71" s="733">
        <v>13191</v>
      </c>
      <c r="V71" s="712">
        <v>30213</v>
      </c>
      <c r="W71" s="712">
        <v>14404</v>
      </c>
      <c r="X71" s="712">
        <v>15551</v>
      </c>
      <c r="Y71" s="712">
        <f>+'3 Canaccord Genuity '!AC68-'6 CG - UK'!AC62-'5 CG - US'!AC63-'7 CG Other Foreign Loc'!AC64</f>
        <v>34712</v>
      </c>
      <c r="Z71" s="734">
        <v>56010</v>
      </c>
      <c r="AA71" s="712">
        <v>72232</v>
      </c>
      <c r="AB71" s="712">
        <v>33469</v>
      </c>
      <c r="AC71" s="712">
        <f>31750-1</f>
        <v>31749</v>
      </c>
      <c r="AD71" s="734">
        <v>23306</v>
      </c>
      <c r="AE71" s="712">
        <v>46294</v>
      </c>
      <c r="AF71" s="712">
        <v>16811</v>
      </c>
      <c r="AG71" s="712">
        <v>19402</v>
      </c>
      <c r="AH71" s="735">
        <f>17723-2473</f>
        <v>15250</v>
      </c>
      <c r="AI71" s="712">
        <f>5784-1215</f>
        <v>4569</v>
      </c>
      <c r="AJ71" s="733">
        <v>12638</v>
      </c>
      <c r="AK71" s="733">
        <v>17564</v>
      </c>
      <c r="AL71" s="713">
        <v>0</v>
      </c>
      <c r="AM71" s="623">
        <v>0</v>
      </c>
      <c r="AN71" s="623">
        <v>0</v>
      </c>
      <c r="AO71" s="589">
        <v>0</v>
      </c>
      <c r="AP71" s="623">
        <v>0</v>
      </c>
      <c r="AQ71" s="589">
        <v>0</v>
      </c>
      <c r="AR71" s="589">
        <v>0</v>
      </c>
      <c r="AS71" s="623">
        <v>0</v>
      </c>
      <c r="AT71" s="620"/>
      <c r="AU71" s="663">
        <f t="shared" si="46"/>
        <v>110423</v>
      </c>
      <c r="AV71" s="633">
        <f t="shared" si="47"/>
        <v>76404</v>
      </c>
      <c r="AW71" s="664">
        <f t="shared" si="48"/>
        <v>19998</v>
      </c>
      <c r="AX71" s="628">
        <f t="shared" si="49"/>
        <v>0.16418045236238249</v>
      </c>
      <c r="AY71" s="623"/>
      <c r="AZ71" s="716">
        <f t="shared" si="50"/>
        <v>141803</v>
      </c>
      <c r="BA71" s="716">
        <f t="shared" si="51"/>
        <v>121805</v>
      </c>
      <c r="BB71" s="716">
        <f>+'4 Capital Markets Canada'!BG63+'5 CG - US'!BG63</f>
        <v>74713</v>
      </c>
      <c r="BC71" s="716">
        <f>+'4 Capital Markets Canada'!BH63+'5 CG - US'!BH63</f>
        <v>120124</v>
      </c>
      <c r="BD71" s="780">
        <f>+'4 Capital Markets Canada'!BI63+'5 CG - US'!BI63</f>
        <v>237268</v>
      </c>
      <c r="BE71" s="780">
        <v>104241</v>
      </c>
      <c r="BF71" s="780">
        <v>50046</v>
      </c>
      <c r="BG71" s="645">
        <v>121044</v>
      </c>
      <c r="BH71" s="720">
        <f>143025-1549-12713</f>
        <v>128763</v>
      </c>
      <c r="BI71" s="647">
        <f>109202-5303-4636</f>
        <v>99263</v>
      </c>
      <c r="BJ71" s="693"/>
      <c r="BK71" s="693"/>
      <c r="BL71" s="599"/>
    </row>
    <row r="72" spans="1:64" ht="12.75" customHeight="1" x14ac:dyDescent="0.2">
      <c r="A72" s="624"/>
      <c r="B72" s="6" t="s">
        <v>203</v>
      </c>
      <c r="C72" s="710">
        <f t="shared" si="44"/>
        <v>-14226</v>
      </c>
      <c r="D72" s="711">
        <f t="shared" si="45"/>
        <v>-0.67281498297389331</v>
      </c>
      <c r="E72" s="622"/>
      <c r="F72" s="712"/>
      <c r="G72" s="712"/>
      <c r="H72" s="712"/>
      <c r="I72" s="733">
        <f>'4 Capital Markets Canada'!M64+'5 CG - US'!M64</f>
        <v>6918</v>
      </c>
      <c r="J72" s="712">
        <f>+'4 Capital Markets Canada'!N64+'5 CG - US'!N64</f>
        <v>22172</v>
      </c>
      <c r="K72" s="712">
        <f>+'4 Capital Markets Canada'!O64+'5 CG - US'!O64</f>
        <v>12546</v>
      </c>
      <c r="L72" s="712">
        <f>+'4 Capital Markets Canada'!P64+'5 CG - US'!P64</f>
        <v>28044</v>
      </c>
      <c r="M72" s="733">
        <f>+'4 Capital Markets Canada'!Q64+'5 CG - US'!Q64</f>
        <v>21144</v>
      </c>
      <c r="N72" s="712">
        <f>+'4 Capital Markets Canada'!R64+'5 CG - US'!R64</f>
        <v>11197</v>
      </c>
      <c r="O72" s="712">
        <f>+'4 Capital Markets Canada'!S64+'5 CG - US'!S64</f>
        <v>9681</v>
      </c>
      <c r="P72" s="712">
        <f>+'4 Capital Markets Canada'!T64+'5 CG - US'!T64</f>
        <v>12281</v>
      </c>
      <c r="Q72" s="733">
        <f>+'4 Capital Markets Canada'!U64+'5 CG - US'!U64</f>
        <v>13614</v>
      </c>
      <c r="R72" s="712">
        <f>+'4 Capital Markets Canada'!V64+'5 CG - US'!V64</f>
        <v>35769</v>
      </c>
      <c r="S72" s="712">
        <f>+'4 Capital Markets Canada'!W64+'5 CG - US'!W64</f>
        <v>51213</v>
      </c>
      <c r="T72" s="712">
        <v>8678</v>
      </c>
      <c r="U72" s="733">
        <v>5921</v>
      </c>
      <c r="V72" s="712">
        <v>16725</v>
      </c>
      <c r="W72" s="712">
        <v>27820</v>
      </c>
      <c r="X72" s="712">
        <v>16442</v>
      </c>
      <c r="Y72" s="712">
        <f>+'3 Canaccord Genuity '!AC69-'6 CG - UK'!AC63-'5 CG - US'!AC64-'7 CG Other Foreign Loc'!AC65</f>
        <v>17764</v>
      </c>
      <c r="Z72" s="734">
        <v>19979</v>
      </c>
      <c r="AA72" s="712">
        <v>19864</v>
      </c>
      <c r="AB72" s="712">
        <v>8169</v>
      </c>
      <c r="AC72" s="712">
        <v>14504</v>
      </c>
      <c r="AD72" s="734">
        <v>1297</v>
      </c>
      <c r="AE72" s="712">
        <v>1601</v>
      </c>
      <c r="AF72" s="712">
        <v>1211</v>
      </c>
      <c r="AG72" s="712">
        <v>1444</v>
      </c>
      <c r="AH72" s="735">
        <v>2473</v>
      </c>
      <c r="AI72" s="712">
        <v>1215</v>
      </c>
      <c r="AJ72" s="733">
        <v>2659</v>
      </c>
      <c r="AK72" s="733">
        <v>8562</v>
      </c>
      <c r="AL72" s="713"/>
      <c r="AM72" s="623"/>
      <c r="AN72" s="623"/>
      <c r="AO72" s="589"/>
      <c r="AP72" s="623"/>
      <c r="AQ72" s="589"/>
      <c r="AR72" s="589"/>
      <c r="AS72" s="623"/>
      <c r="AT72" s="620"/>
      <c r="AU72" s="663">
        <f t="shared" si="46"/>
        <v>61734</v>
      </c>
      <c r="AV72" s="633">
        <f t="shared" si="47"/>
        <v>35576</v>
      </c>
      <c r="AW72" s="738">
        <f t="shared" si="48"/>
        <v>37133</v>
      </c>
      <c r="AX72" s="628">
        <f t="shared" si="49"/>
        <v>0.79389818912620524</v>
      </c>
      <c r="AY72" s="623"/>
      <c r="AZ72" s="716">
        <f t="shared" si="50"/>
        <v>83906</v>
      </c>
      <c r="BA72" s="716">
        <f t="shared" si="51"/>
        <v>46773</v>
      </c>
      <c r="BB72" s="716">
        <f>+'4 Capital Markets Canada'!BG64+'5 CG - US'!BG64</f>
        <v>110803</v>
      </c>
      <c r="BC72" s="716">
        <f>+'4 Capital Markets Canada'!BH64+'5 CG - US'!BH64</f>
        <v>85830</v>
      </c>
      <c r="BD72" s="780">
        <f>+'4 Capital Markets Canada'!BI64+'5 CG - US'!BI64</f>
        <v>72105</v>
      </c>
      <c r="BE72" s="780">
        <v>6277</v>
      </c>
      <c r="BF72" s="780">
        <v>14909</v>
      </c>
      <c r="BG72" s="645">
        <v>17584</v>
      </c>
      <c r="BH72" s="739">
        <f>7195+5518</f>
        <v>12713</v>
      </c>
      <c r="BI72" s="647">
        <v>4636</v>
      </c>
      <c r="BJ72" s="693"/>
      <c r="BK72" s="693"/>
      <c r="BL72" s="599"/>
    </row>
    <row r="73" spans="1:64" ht="12.75" customHeight="1" x14ac:dyDescent="0.2">
      <c r="A73" s="624"/>
      <c r="B73" s="6" t="s">
        <v>63</v>
      </c>
      <c r="C73" s="710">
        <f t="shared" si="44"/>
        <v>3574</v>
      </c>
      <c r="D73" s="779">
        <f t="shared" si="45"/>
        <v>0.25144224004502602</v>
      </c>
      <c r="E73" s="622"/>
      <c r="F73" s="712"/>
      <c r="G73" s="712"/>
      <c r="H73" s="712"/>
      <c r="I73" s="733">
        <f>'4 Capital Markets Canada'!M65+'5 CG - US'!M65</f>
        <v>17788</v>
      </c>
      <c r="J73" s="712">
        <f>+'4 Capital Markets Canada'!N65+'5 CG - US'!N65</f>
        <v>18035</v>
      </c>
      <c r="K73" s="712">
        <f>+'4 Capital Markets Canada'!O65+'5 CG - US'!O65</f>
        <v>14072</v>
      </c>
      <c r="L73" s="712">
        <f>+'4 Capital Markets Canada'!P65+'5 CG - US'!P65</f>
        <v>11122</v>
      </c>
      <c r="M73" s="733">
        <f>+'4 Capital Markets Canada'!Q65+'5 CG - US'!Q65</f>
        <v>14214</v>
      </c>
      <c r="N73" s="712">
        <f>+'4 Capital Markets Canada'!R65+'5 CG - US'!R65</f>
        <v>22992</v>
      </c>
      <c r="O73" s="712">
        <f>+'4 Capital Markets Canada'!S65+'5 CG - US'!S65</f>
        <v>14177</v>
      </c>
      <c r="P73" s="712">
        <f>+'4 Capital Markets Canada'!T65+'5 CG - US'!T65</f>
        <v>11006</v>
      </c>
      <c r="Q73" s="733">
        <f>+'4 Capital Markets Canada'!U65+'5 CG - US'!U65</f>
        <v>14550</v>
      </c>
      <c r="R73" s="712">
        <f>+'4 Capital Markets Canada'!V65+'5 CG - US'!V65</f>
        <v>13925</v>
      </c>
      <c r="S73" s="712">
        <f>+'4 Capital Markets Canada'!W65+'5 CG - US'!W65</f>
        <v>11948</v>
      </c>
      <c r="T73" s="712">
        <v>699</v>
      </c>
      <c r="U73" s="733">
        <v>397</v>
      </c>
      <c r="V73" s="712">
        <v>1761</v>
      </c>
      <c r="W73" s="712">
        <v>807</v>
      </c>
      <c r="X73" s="283">
        <v>-2981</v>
      </c>
      <c r="Y73" s="712">
        <f>+'3 Canaccord Genuity '!AC70-'6 CG - UK'!AC64-'5 CG - US'!AC65-'7 CG Other Foreign Loc'!AC66</f>
        <v>-405</v>
      </c>
      <c r="Z73" s="734">
        <v>2915</v>
      </c>
      <c r="AA73" s="712">
        <v>-373</v>
      </c>
      <c r="AB73" s="712">
        <v>-659</v>
      </c>
      <c r="AC73" s="712">
        <v>-262</v>
      </c>
      <c r="AD73" s="734">
        <v>-115</v>
      </c>
      <c r="AE73" s="712">
        <v>-132</v>
      </c>
      <c r="AF73" s="712">
        <v>-255</v>
      </c>
      <c r="AG73" s="712">
        <v>-45</v>
      </c>
      <c r="AH73" s="735">
        <v>-388</v>
      </c>
      <c r="AI73" s="712">
        <v>-274</v>
      </c>
      <c r="AJ73" s="733">
        <v>-218</v>
      </c>
      <c r="AK73" s="733">
        <v>-343</v>
      </c>
      <c r="AL73" s="713">
        <v>5363</v>
      </c>
      <c r="AM73" s="623"/>
      <c r="AN73" s="623"/>
      <c r="AO73" s="589"/>
      <c r="AP73" s="623"/>
      <c r="AQ73" s="589"/>
      <c r="AR73" s="589"/>
      <c r="AS73" s="623"/>
      <c r="AT73" s="620"/>
      <c r="AU73" s="663">
        <f t="shared" si="46"/>
        <v>39408</v>
      </c>
      <c r="AV73" s="633">
        <f t="shared" si="47"/>
        <v>39733</v>
      </c>
      <c r="AW73" s="738">
        <f t="shared" si="48"/>
        <v>-5282</v>
      </c>
      <c r="AX73" s="628">
        <f t="shared" si="49"/>
        <v>-8.4208848146671983E-2</v>
      </c>
      <c r="AY73" s="623"/>
      <c r="AZ73" s="716">
        <f t="shared" si="50"/>
        <v>57443</v>
      </c>
      <c r="BA73" s="716">
        <f t="shared" si="51"/>
        <v>62725</v>
      </c>
      <c r="BB73" s="510">
        <f>+'4 Capital Markets Canada'!BG65+'5 CG - US'!BG65</f>
        <v>42258</v>
      </c>
      <c r="BC73" s="510">
        <f>+'4 Capital Markets Canada'!BH65+'5 CG - US'!BH65</f>
        <v>860</v>
      </c>
      <c r="BD73" s="780">
        <f>+'4 Capital Markets Canada'!BI65+'5 CG - US'!BI65</f>
        <v>12833</v>
      </c>
      <c r="BE73" s="780">
        <v>12778</v>
      </c>
      <c r="BF73" s="780">
        <v>8388</v>
      </c>
      <c r="BG73" s="645">
        <v>-8100</v>
      </c>
      <c r="BH73" s="720">
        <v>-524</v>
      </c>
      <c r="BI73" s="647">
        <v>4647</v>
      </c>
      <c r="BJ73" s="693"/>
      <c r="BK73" s="693"/>
      <c r="BL73" s="599"/>
    </row>
    <row r="74" spans="1:64" ht="12.75" customHeight="1" x14ac:dyDescent="0.2">
      <c r="A74" s="624"/>
      <c r="B74" s="6" t="s">
        <v>64</v>
      </c>
      <c r="C74" s="710">
        <f t="shared" si="44"/>
        <v>-583</v>
      </c>
      <c r="D74" s="779">
        <f t="shared" si="45"/>
        <v>-0.32479108635097492</v>
      </c>
      <c r="E74" s="622"/>
      <c r="F74" s="712"/>
      <c r="G74" s="712"/>
      <c r="H74" s="644"/>
      <c r="I74" s="733">
        <f>'4 Capital Markets Canada'!M66+'5 CG - US'!M66</f>
        <v>1212</v>
      </c>
      <c r="J74" s="712">
        <f>+'4 Capital Markets Canada'!N66+'5 CG - US'!N66</f>
        <v>1381</v>
      </c>
      <c r="K74" s="712">
        <f>+'4 Capital Markets Canada'!O66+'5 CG - US'!O66</f>
        <v>1823</v>
      </c>
      <c r="L74" s="644">
        <f>+'4 Capital Markets Canada'!P66+'5 CG - US'!P66</f>
        <v>1387</v>
      </c>
      <c r="M74" s="733">
        <f>+'4 Capital Markets Canada'!Q66+'5 CG - US'!Q66</f>
        <v>1795</v>
      </c>
      <c r="N74" s="712">
        <f>+'4 Capital Markets Canada'!R66+'5 CG - US'!R66</f>
        <v>1723</v>
      </c>
      <c r="O74" s="740">
        <f>+'4 Capital Markets Canada'!S66+'5 CG - US'!S66</f>
        <v>1837</v>
      </c>
      <c r="P74" s="644">
        <f>+'4 Capital Markets Canada'!T66+'5 CG - US'!T66</f>
        <v>2187</v>
      </c>
      <c r="Q74" s="733">
        <f>+'4 Capital Markets Canada'!U66+'5 CG - US'!U66</f>
        <v>2309</v>
      </c>
      <c r="R74" s="712">
        <f>+'4 Capital Markets Canada'!V66+'5 CG - US'!V66</f>
        <v>1945</v>
      </c>
      <c r="S74" s="712">
        <f>+'4 Capital Markets Canada'!W66+'5 CG - US'!W66</f>
        <v>2545</v>
      </c>
      <c r="T74" s="712">
        <v>1284</v>
      </c>
      <c r="U74" s="733">
        <v>2356</v>
      </c>
      <c r="V74" s="712">
        <v>2272</v>
      </c>
      <c r="W74" s="712">
        <v>2019</v>
      </c>
      <c r="X74" s="712">
        <v>1807</v>
      </c>
      <c r="Y74" s="712">
        <f>+'3 Canaccord Genuity '!AC71-'6 CG - UK'!AC65-'5 CG - US'!AC66-'7 CG Other Foreign Loc'!AC67</f>
        <v>1740</v>
      </c>
      <c r="Z74" s="734">
        <v>143</v>
      </c>
      <c r="AA74" s="740">
        <v>99</v>
      </c>
      <c r="AB74" s="740">
        <v>137</v>
      </c>
      <c r="AC74" s="712">
        <v>46</v>
      </c>
      <c r="AD74" s="734">
        <v>102</v>
      </c>
      <c r="AE74" s="741">
        <v>0</v>
      </c>
      <c r="AF74" s="741">
        <v>0</v>
      </c>
      <c r="AG74" s="712">
        <v>37</v>
      </c>
      <c r="AH74" s="735">
        <v>50</v>
      </c>
      <c r="AI74" s="712">
        <v>93</v>
      </c>
      <c r="AJ74" s="733">
        <v>168</v>
      </c>
      <c r="AK74" s="733">
        <v>178</v>
      </c>
      <c r="AL74" s="713">
        <v>-3063</v>
      </c>
      <c r="AM74" s="623">
        <v>42952</v>
      </c>
      <c r="AN74" s="623">
        <v>39210</v>
      </c>
      <c r="AO74" s="589">
        <v>62549</v>
      </c>
      <c r="AP74" s="623">
        <v>57382</v>
      </c>
      <c r="AQ74" s="589">
        <v>48897</v>
      </c>
      <c r="AR74" s="589">
        <v>38533</v>
      </c>
      <c r="AS74" s="623">
        <v>42750</v>
      </c>
      <c r="AT74" s="620"/>
      <c r="AU74" s="663">
        <f t="shared" si="46"/>
        <v>5005</v>
      </c>
      <c r="AV74" s="633">
        <f t="shared" si="47"/>
        <v>6333</v>
      </c>
      <c r="AW74" s="738">
        <f t="shared" si="48"/>
        <v>-1670</v>
      </c>
      <c r="AX74" s="628">
        <f t="shared" si="49"/>
        <v>-0.20729890764647468</v>
      </c>
      <c r="AY74" s="623"/>
      <c r="AZ74" s="716">
        <f t="shared" si="50"/>
        <v>6386</v>
      </c>
      <c r="BA74" s="716">
        <f t="shared" si="51"/>
        <v>8056</v>
      </c>
      <c r="BB74" s="716">
        <f>+'4 Capital Markets Canada'!BG66+'5 CG - US'!BG66</f>
        <v>8868</v>
      </c>
      <c r="BC74" s="716">
        <f>+'4 Capital Markets Canada'!BH66+'5 CG - US'!BH66</f>
        <v>7898</v>
      </c>
      <c r="BD74" s="780">
        <f>+'4 Capital Markets Canada'!BI66+'5 CG - US'!BI66</f>
        <v>5836</v>
      </c>
      <c r="BE74" s="780">
        <v>2053</v>
      </c>
      <c r="BF74" s="780">
        <v>1310</v>
      </c>
      <c r="BG74" s="645">
        <v>942</v>
      </c>
      <c r="BH74" s="720">
        <v>543</v>
      </c>
      <c r="BI74" s="647">
        <v>236</v>
      </c>
      <c r="BJ74" s="693"/>
      <c r="BK74" s="693"/>
      <c r="BL74" s="599"/>
    </row>
    <row r="75" spans="1:64" ht="12.75" customHeight="1" x14ac:dyDescent="0.2">
      <c r="A75" s="704"/>
      <c r="B75" s="6" t="s">
        <v>65</v>
      </c>
      <c r="C75" s="710">
        <f t="shared" si="44"/>
        <v>-156</v>
      </c>
      <c r="D75" s="711">
        <f t="shared" si="45"/>
        <v>-0.1574167507568113</v>
      </c>
      <c r="E75" s="742"/>
      <c r="F75" s="712"/>
      <c r="G75" s="712"/>
      <c r="H75" s="630"/>
      <c r="I75" s="733">
        <f>'4 Capital Markets Canada'!M67+'5 CG - US'!M67</f>
        <v>835</v>
      </c>
      <c r="J75" s="712">
        <f>+'4 Capital Markets Canada'!N67+'5 CG - US'!N67</f>
        <v>713</v>
      </c>
      <c r="K75" s="712">
        <f>+'4 Capital Markets Canada'!O67+'5 CG - US'!O67</f>
        <v>405</v>
      </c>
      <c r="L75" s="630">
        <f>+'4 Capital Markets Canada'!P67+'5 CG - US'!P67</f>
        <v>569</v>
      </c>
      <c r="M75" s="733">
        <f>+'4 Capital Markets Canada'!Q67+'5 CG - US'!Q67</f>
        <v>991</v>
      </c>
      <c r="N75" s="712">
        <f>+'4 Capital Markets Canada'!R67+'5 CG - US'!R67</f>
        <v>234</v>
      </c>
      <c r="O75" s="740">
        <f>+'4 Capital Markets Canada'!S67+'5 CG - US'!S67</f>
        <v>497</v>
      </c>
      <c r="P75" s="630">
        <f>+'4 Capital Markets Canada'!T67+'5 CG - US'!T67</f>
        <v>370</v>
      </c>
      <c r="Q75" s="733">
        <f>+'4 Capital Markets Canada'!U67+'5 CG - US'!U67</f>
        <v>855</v>
      </c>
      <c r="R75" s="712">
        <f>+'4 Capital Markets Canada'!V67+'5 CG - US'!V67</f>
        <v>527</v>
      </c>
      <c r="S75" s="712">
        <f>+'4 Capital Markets Canada'!W67+'5 CG - US'!W67</f>
        <v>122</v>
      </c>
      <c r="T75" s="712">
        <v>34</v>
      </c>
      <c r="U75" s="733">
        <v>36</v>
      </c>
      <c r="V75" s="712">
        <v>60</v>
      </c>
      <c r="W75" s="712">
        <v>31</v>
      </c>
      <c r="X75" s="712">
        <v>62</v>
      </c>
      <c r="Y75" s="712">
        <f>+'3 Canaccord Genuity '!AC72-'6 CG - UK'!AC66-'5 CG - US'!AC67-'7 CG Other Foreign Loc'!AC68</f>
        <v>166</v>
      </c>
      <c r="Z75" s="734">
        <v>52</v>
      </c>
      <c r="AA75" s="740">
        <v>74</v>
      </c>
      <c r="AB75" s="744">
        <v>72</v>
      </c>
      <c r="AC75" s="632">
        <v>45</v>
      </c>
      <c r="AD75" s="734">
        <v>1</v>
      </c>
      <c r="AE75" s="741">
        <v>0</v>
      </c>
      <c r="AF75" s="745">
        <v>0</v>
      </c>
      <c r="AG75" s="632">
        <v>414</v>
      </c>
      <c r="AH75" s="662">
        <v>0</v>
      </c>
      <c r="AI75" s="632">
        <v>1</v>
      </c>
      <c r="AJ75" s="746">
        <v>0</v>
      </c>
      <c r="AK75" s="743">
        <v>1</v>
      </c>
      <c r="AL75" s="726">
        <v>60</v>
      </c>
      <c r="AM75" s="595"/>
      <c r="AN75" s="595"/>
      <c r="AO75" s="595"/>
      <c r="AP75" s="595"/>
      <c r="AQ75" s="595"/>
      <c r="AR75" s="595"/>
      <c r="AS75" s="595"/>
      <c r="AT75" s="620"/>
      <c r="AU75" s="663">
        <f t="shared" si="46"/>
        <v>1965</v>
      </c>
      <c r="AV75" s="633">
        <f t="shared" si="47"/>
        <v>1722</v>
      </c>
      <c r="AW75" s="738">
        <f t="shared" si="48"/>
        <v>722</v>
      </c>
      <c r="AX75" s="719">
        <f t="shared" si="49"/>
        <v>0.36912065439672803</v>
      </c>
      <c r="AY75" s="624"/>
      <c r="AZ75" s="716">
        <f t="shared" si="50"/>
        <v>2678</v>
      </c>
      <c r="BA75" s="716">
        <f t="shared" si="51"/>
        <v>1956</v>
      </c>
      <c r="BB75" s="716">
        <f>+'4 Capital Markets Canada'!BG67+'5 CG - US'!BG67</f>
        <v>1043</v>
      </c>
      <c r="BC75" s="716">
        <f>+'4 Capital Markets Canada'!BH67+'5 CG - US'!BH67</f>
        <v>558</v>
      </c>
      <c r="BD75" s="781">
        <f>+'4 Capital Markets Canada'!BI67+'5 CG - US'!BI67</f>
        <v>464</v>
      </c>
      <c r="BE75" s="781">
        <v>417</v>
      </c>
      <c r="BF75" s="781">
        <v>4</v>
      </c>
      <c r="BG75" s="721">
        <v>333</v>
      </c>
      <c r="BH75" s="722">
        <v>294</v>
      </c>
      <c r="BI75" s="723">
        <v>118</v>
      </c>
      <c r="BJ75" s="693"/>
      <c r="BK75" s="693"/>
      <c r="BL75" s="599"/>
    </row>
    <row r="76" spans="1:64" ht="12.75" customHeight="1" x14ac:dyDescent="0.2">
      <c r="A76" s="704"/>
      <c r="B76" s="6"/>
      <c r="C76" s="747">
        <f t="shared" si="44"/>
        <v>-31338</v>
      </c>
      <c r="D76" s="748">
        <f t="shared" si="45"/>
        <v>-0.26017650623915517</v>
      </c>
      <c r="E76" s="594"/>
      <c r="F76" s="749"/>
      <c r="G76" s="749"/>
      <c r="H76" s="749"/>
      <c r="I76" s="750">
        <f>SUM(I70:I75)</f>
        <v>89111</v>
      </c>
      <c r="J76" s="749">
        <f t="shared" ref="J76:S76" si="52">SUM(J70:J75)</f>
        <v>104807</v>
      </c>
      <c r="K76" s="749">
        <f t="shared" si="52"/>
        <v>72685</v>
      </c>
      <c r="L76" s="749">
        <f t="shared" si="52"/>
        <v>109616</v>
      </c>
      <c r="M76" s="750">
        <f t="shared" si="52"/>
        <v>120449</v>
      </c>
      <c r="N76" s="749">
        <f t="shared" si="52"/>
        <v>114330</v>
      </c>
      <c r="O76" s="749">
        <f t="shared" si="52"/>
        <v>89552</v>
      </c>
      <c r="P76" s="749">
        <f t="shared" si="52"/>
        <v>75264</v>
      </c>
      <c r="Q76" s="750">
        <f t="shared" si="52"/>
        <v>85853</v>
      </c>
      <c r="R76" s="749">
        <f t="shared" si="52"/>
        <v>102020</v>
      </c>
      <c r="S76" s="749">
        <f t="shared" si="52"/>
        <v>114079</v>
      </c>
      <c r="T76" s="749">
        <v>35445</v>
      </c>
      <c r="U76" s="750">
        <v>35624</v>
      </c>
      <c r="V76" s="749">
        <v>71006</v>
      </c>
      <c r="W76" s="749">
        <v>56942</v>
      </c>
      <c r="X76" s="749">
        <v>42491</v>
      </c>
      <c r="Y76" s="749">
        <f>SUM(Y70:Y75)</f>
        <v>61867</v>
      </c>
      <c r="Z76" s="751">
        <f t="shared" ref="Z76:AL76" si="53">SUM(Z70:Z75)</f>
        <v>88632</v>
      </c>
      <c r="AA76" s="749">
        <f t="shared" si="53"/>
        <v>109404</v>
      </c>
      <c r="AB76" s="749">
        <f t="shared" si="53"/>
        <v>49909</v>
      </c>
      <c r="AC76" s="749">
        <f t="shared" si="53"/>
        <v>53057</v>
      </c>
      <c r="AD76" s="751">
        <f t="shared" si="53"/>
        <v>32806</v>
      </c>
      <c r="AE76" s="749">
        <f t="shared" si="53"/>
        <v>57181</v>
      </c>
      <c r="AF76" s="749">
        <f t="shared" si="53"/>
        <v>27314</v>
      </c>
      <c r="AG76" s="749">
        <f t="shared" si="53"/>
        <v>30054</v>
      </c>
      <c r="AH76" s="751">
        <f t="shared" si="53"/>
        <v>25033</v>
      </c>
      <c r="AI76" s="749">
        <f t="shared" si="53"/>
        <v>12639</v>
      </c>
      <c r="AJ76" s="750">
        <f t="shared" si="53"/>
        <v>23461</v>
      </c>
      <c r="AK76" s="750">
        <f t="shared" si="53"/>
        <v>34352</v>
      </c>
      <c r="AL76" s="750">
        <f t="shared" si="53"/>
        <v>31944</v>
      </c>
      <c r="AM76" s="585"/>
      <c r="AN76" s="585"/>
      <c r="AO76" s="585"/>
      <c r="AP76" s="585"/>
      <c r="AQ76" s="585"/>
      <c r="AR76" s="585"/>
      <c r="AS76" s="585"/>
      <c r="AT76" s="599"/>
      <c r="AU76" s="749">
        <f>SUM(AU70:AU75)</f>
        <v>302750</v>
      </c>
      <c r="AV76" s="749">
        <f>SUM(AV70:AV75)</f>
        <v>250669</v>
      </c>
      <c r="AW76" s="752">
        <f t="shared" si="48"/>
        <v>42558</v>
      </c>
      <c r="AX76" s="753">
        <f t="shared" si="49"/>
        <v>0.11659757971939649</v>
      </c>
      <c r="AZ76" s="754">
        <f>SUM(AZ70:AZ75)</f>
        <v>407557</v>
      </c>
      <c r="BA76" s="754">
        <f>SUM(BA70:BA75)</f>
        <v>364999</v>
      </c>
      <c r="BB76" s="754">
        <f>SUM(BB70:BB75)</f>
        <v>357692</v>
      </c>
      <c r="BC76" s="754">
        <f>SUM(BC70:BC75)</f>
        <v>311792</v>
      </c>
      <c r="BD76" s="754">
        <f>SUM(BD70:BD75)</f>
        <v>444739</v>
      </c>
      <c r="BE76" s="754">
        <v>177581</v>
      </c>
      <c r="BF76" s="755">
        <v>122850</v>
      </c>
      <c r="BG76" s="755">
        <f>SUM(BG70:BG75)</f>
        <v>176655</v>
      </c>
      <c r="BH76" s="755">
        <f>SUM(BH70:BH75)</f>
        <v>187562</v>
      </c>
      <c r="BI76" s="755">
        <f>SUM(BI70:BI75)</f>
        <v>150470</v>
      </c>
      <c r="BJ76" s="693"/>
      <c r="BK76" s="693"/>
    </row>
    <row r="77" spans="1:64" ht="12.75" customHeight="1" x14ac:dyDescent="0.2">
      <c r="A77" s="704"/>
      <c r="B77" s="6"/>
      <c r="C77" s="724"/>
      <c r="D77" s="756"/>
      <c r="E77" s="594"/>
      <c r="F77" s="757"/>
      <c r="G77" s="758"/>
      <c r="H77" s="758"/>
      <c r="I77" s="726"/>
      <c r="J77" s="757"/>
      <c r="K77" s="758"/>
      <c r="L77" s="758"/>
      <c r="M77" s="726"/>
      <c r="N77" s="757"/>
      <c r="O77" s="758"/>
      <c r="P77" s="758"/>
      <c r="Q77" s="726"/>
      <c r="R77" s="757"/>
      <c r="S77" s="758"/>
      <c r="T77" s="758"/>
      <c r="U77" s="726"/>
      <c r="V77" s="757"/>
      <c r="W77" s="749"/>
      <c r="X77" s="758"/>
      <c r="Y77" s="758"/>
      <c r="Z77" s="759"/>
      <c r="AA77" s="758"/>
      <c r="AB77" s="758"/>
      <c r="AC77" s="758"/>
      <c r="AD77" s="759"/>
      <c r="AE77" s="758"/>
      <c r="AF77" s="758"/>
      <c r="AG77" s="758"/>
      <c r="AH77" s="757"/>
      <c r="AI77" s="757"/>
      <c r="AJ77" s="757"/>
      <c r="AK77" s="757"/>
      <c r="AL77" s="757"/>
      <c r="AM77" s="585"/>
      <c r="AN77" s="585"/>
      <c r="AO77" s="585"/>
      <c r="AP77" s="585"/>
      <c r="AQ77" s="585"/>
      <c r="AR77" s="585"/>
      <c r="AS77" s="585"/>
      <c r="AT77" s="599"/>
      <c r="AU77" s="758"/>
      <c r="AV77" s="758"/>
      <c r="AW77" s="760"/>
      <c r="AX77" s="761"/>
      <c r="AZ77" s="762"/>
      <c r="BA77" s="762"/>
      <c r="BB77" s="762"/>
      <c r="BC77" s="762"/>
      <c r="BD77" s="762"/>
      <c r="BE77" s="762"/>
      <c r="BF77" s="763"/>
      <c r="BG77" s="763"/>
      <c r="BH77" s="763"/>
      <c r="BI77" s="634"/>
      <c r="BJ77" s="693"/>
      <c r="BK77" s="693"/>
    </row>
    <row r="78" spans="1:64" ht="12.75" customHeight="1" x14ac:dyDescent="0.2">
      <c r="A78" s="589"/>
      <c r="B78" s="6" t="s">
        <v>412</v>
      </c>
      <c r="C78" s="861">
        <f>I78-M78</f>
        <v>-231</v>
      </c>
      <c r="D78" s="862">
        <f>-IF(OR((C78/M78)&gt;3,(C78/M78)&lt;-3),"n.m.",(C78/M78))</f>
        <v>-0.11625566180171112</v>
      </c>
      <c r="E78" s="863"/>
      <c r="F78" s="864"/>
      <c r="G78" s="864"/>
      <c r="H78" s="864"/>
      <c r="I78" s="269">
        <f>'4 Capital Markets Canada'!M70+'5 CG - US'!M70</f>
        <v>-2218</v>
      </c>
      <c r="J78" s="864">
        <f>+'4 Capital Markets Canada'!N70+'5 CG - US'!N70</f>
        <v>-2329</v>
      </c>
      <c r="K78" s="864">
        <f>+'4 Capital Markets Canada'!O70+'5 CG - US'!O70</f>
        <v>-3719</v>
      </c>
      <c r="L78" s="864">
        <f>+'4 Capital Markets Canada'!P70+'5 CG - US'!P70</f>
        <v>-3496</v>
      </c>
      <c r="M78" s="269">
        <f>+'4 Capital Markets Canada'!Q70+'5 CG - US'!Q70</f>
        <v>-1987</v>
      </c>
      <c r="N78" s="864">
        <f>+'4 Capital Markets Canada'!R70+'5 CG - US'!R70</f>
        <v>-3504</v>
      </c>
      <c r="O78" s="864">
        <f>+'4 Capital Markets Canada'!S70+'5 CG - US'!S70</f>
        <v>-2256</v>
      </c>
      <c r="P78" s="864">
        <f>+'4 Capital Markets Canada'!T70+'5 CG - US'!T70</f>
        <v>-4564</v>
      </c>
      <c r="Q78" s="269">
        <f>+'4 Capital Markets Canada'!U70+'5 CG - US'!U70</f>
        <v>-2711</v>
      </c>
      <c r="R78" s="864">
        <f>+'4 Capital Markets Canada'!V70+'5 CG - US'!V70</f>
        <v>-4660</v>
      </c>
      <c r="S78" s="864">
        <f>+'4 Capital Markets Canada'!W70+'5 CG - US'!W70</f>
        <v>-3553</v>
      </c>
      <c r="T78" s="864">
        <v>-1301</v>
      </c>
      <c r="U78" s="865">
        <v>-3367</v>
      </c>
      <c r="V78" s="864">
        <v>-218</v>
      </c>
      <c r="W78" s="864">
        <v>-4844</v>
      </c>
      <c r="X78" s="864">
        <v>-6322</v>
      </c>
      <c r="Y78" s="865">
        <v>-10795</v>
      </c>
      <c r="Z78" s="866">
        <v>-9261</v>
      </c>
      <c r="AA78" s="867">
        <v>-1134</v>
      </c>
      <c r="AB78" s="867">
        <v>-5070</v>
      </c>
      <c r="AC78" s="868">
        <v>-6918</v>
      </c>
      <c r="AD78" s="869" t="s">
        <v>177</v>
      </c>
      <c r="AE78" s="870" t="s">
        <v>177</v>
      </c>
      <c r="AF78" s="871" t="s">
        <v>177</v>
      </c>
      <c r="AG78" s="871" t="s">
        <v>177</v>
      </c>
      <c r="AH78" s="872"/>
      <c r="AI78" s="872"/>
      <c r="AJ78" s="872"/>
      <c r="AK78" s="872"/>
      <c r="AL78" s="872"/>
      <c r="AM78" s="873"/>
      <c r="AN78" s="873"/>
      <c r="AO78" s="873"/>
      <c r="AP78" s="873"/>
      <c r="AQ78" s="873"/>
      <c r="AR78" s="873"/>
      <c r="AS78" s="873"/>
      <c r="AT78" s="882"/>
      <c r="AU78" s="363">
        <f>SUM(K78:M78)</f>
        <v>-9202</v>
      </c>
      <c r="AV78" s="363">
        <f>SUM(O78:Q78)</f>
        <v>-9531</v>
      </c>
      <c r="AW78" s="363">
        <f>AZ78-BA78</f>
        <v>1504</v>
      </c>
      <c r="AX78" s="874">
        <f>-IF(OR((AW78/BA78)&gt;3,(AW78/BA78)&lt;-3),"n.m.",(AW78/BA78))</f>
        <v>0.11538166474875336</v>
      </c>
      <c r="AY78" s="875"/>
      <c r="AZ78" s="435">
        <f>+SUM(J78:M78)</f>
        <v>-11531</v>
      </c>
      <c r="BA78" s="435">
        <f>+SUM(N78:Q78)</f>
        <v>-13035</v>
      </c>
      <c r="BB78" s="435">
        <f>+'4 Capital Markets Canada'!BG70+'5 CG - US'!BG70</f>
        <v>-14446</v>
      </c>
      <c r="BC78" s="435">
        <f>+'4 Capital Markets Canada'!BH70+'5 CG - US'!BH70</f>
        <v>-28124</v>
      </c>
      <c r="BD78" s="435">
        <f>+'4 Capital Markets Canada'!BI70+'5 CG - US'!BI70</f>
        <v>-28296</v>
      </c>
      <c r="BE78" s="435" t="s">
        <v>177</v>
      </c>
      <c r="BF78" s="876" t="s">
        <v>177</v>
      </c>
      <c r="BG78" s="435" t="s">
        <v>177</v>
      </c>
      <c r="BH78" s="435" t="s">
        <v>177</v>
      </c>
      <c r="BI78" s="877"/>
      <c r="BJ78" s="878"/>
      <c r="BK78" s="878"/>
      <c r="BL78" s="879"/>
    </row>
    <row r="79" spans="1:64" x14ac:dyDescent="0.2">
      <c r="G79" s="764"/>
      <c r="H79" s="764"/>
      <c r="I79" s="658"/>
      <c r="K79" s="764"/>
      <c r="L79" s="764"/>
      <c r="M79" s="658"/>
      <c r="O79" s="764"/>
      <c r="P79" s="764"/>
      <c r="Q79" s="658"/>
      <c r="S79" s="764"/>
      <c r="T79" s="764"/>
      <c r="U79" s="658"/>
      <c r="X79" s="764"/>
      <c r="Y79" s="658"/>
      <c r="AC79" s="658"/>
      <c r="AG79" s="658"/>
      <c r="AK79" s="658"/>
      <c r="AS79" s="658"/>
      <c r="AU79" s="580"/>
      <c r="AV79" s="580"/>
      <c r="BG79" s="658"/>
      <c r="BH79" s="658"/>
    </row>
    <row r="80" spans="1:64" x14ac:dyDescent="0.2">
      <c r="A80" s="6" t="s">
        <v>381</v>
      </c>
      <c r="F80" s="658"/>
      <c r="G80" s="658"/>
      <c r="H80" s="658"/>
      <c r="I80" s="658"/>
      <c r="J80" s="658"/>
      <c r="K80" s="658"/>
      <c r="L80" s="658"/>
      <c r="M80" s="658"/>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8"/>
      <c r="AK80" s="658"/>
      <c r="AL80" s="658"/>
      <c r="AM80" s="658"/>
      <c r="AN80" s="658"/>
      <c r="AO80" s="658"/>
      <c r="AP80" s="658"/>
      <c r="AQ80" s="658"/>
      <c r="AR80" s="658"/>
      <c r="AS80" s="658"/>
      <c r="AT80" s="658"/>
      <c r="AU80" s="658"/>
      <c r="AV80" s="658"/>
      <c r="AW80" s="636"/>
      <c r="AX80" s="636"/>
      <c r="AY80" s="658"/>
      <c r="AZ80" s="658"/>
      <c r="BA80" s="658"/>
      <c r="BB80" s="658"/>
      <c r="BC80" s="658"/>
      <c r="BD80" s="658"/>
      <c r="BE80" s="658"/>
      <c r="BF80" s="658"/>
      <c r="BG80" s="658"/>
      <c r="BH80" s="658"/>
      <c r="BI80" s="658"/>
    </row>
    <row r="81" spans="1:64" x14ac:dyDescent="0.2">
      <c r="A81" s="6" t="s">
        <v>29</v>
      </c>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f>BL80-BL76</f>
        <v>0</v>
      </c>
    </row>
    <row r="82" spans="1:64" x14ac:dyDescent="0.2">
      <c r="A82" s="2"/>
      <c r="G82" s="581"/>
      <c r="H82" s="581"/>
      <c r="I82" s="581"/>
      <c r="K82" s="581"/>
      <c r="L82" s="581"/>
      <c r="M82" s="581"/>
      <c r="O82" s="581"/>
      <c r="P82" s="581"/>
      <c r="Q82" s="581"/>
      <c r="S82" s="581"/>
      <c r="T82" s="581"/>
      <c r="U82" s="581"/>
      <c r="X82" s="581"/>
      <c r="Y82" s="581"/>
      <c r="AC82" s="581"/>
      <c r="AG82" s="581"/>
      <c r="AH82" s="581"/>
      <c r="AI82" s="581"/>
      <c r="AJ82" s="581"/>
      <c r="AK82" s="581"/>
      <c r="AL82" s="581"/>
      <c r="AM82" s="581"/>
      <c r="AN82" s="581"/>
      <c r="AO82" s="581"/>
      <c r="AP82" s="581"/>
      <c r="AQ82" s="581"/>
      <c r="AR82" s="581"/>
      <c r="AS82" s="581"/>
      <c r="AT82" s="581"/>
      <c r="AU82" s="581"/>
      <c r="AV82" s="581"/>
      <c r="AW82" s="765"/>
      <c r="AX82" s="765"/>
      <c r="AY82" s="581"/>
      <c r="AZ82" s="581"/>
      <c r="BA82" s="581"/>
      <c r="BB82" s="581"/>
      <c r="BC82" s="581"/>
      <c r="BD82" s="581"/>
      <c r="BE82" s="581"/>
      <c r="BF82" s="581"/>
      <c r="BG82" s="581"/>
      <c r="BH82" s="766"/>
      <c r="BI82" s="766"/>
    </row>
    <row r="83" spans="1:64" x14ac:dyDescent="0.2">
      <c r="A83" s="6" t="s">
        <v>310</v>
      </c>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1"/>
      <c r="AV83" s="581"/>
      <c r="AW83" s="765"/>
      <c r="AX83" s="765"/>
      <c r="AY83" s="581"/>
      <c r="AZ83" s="581"/>
      <c r="BA83" s="581"/>
      <c r="BB83" s="581"/>
      <c r="BC83" s="581"/>
      <c r="BD83" s="581"/>
      <c r="BE83" s="581"/>
      <c r="BF83" s="581"/>
      <c r="BG83" s="581"/>
      <c r="BH83" s="581"/>
      <c r="BI83" s="581"/>
    </row>
    <row r="84" spans="1:64" x14ac:dyDescent="0.2">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1"/>
      <c r="AL84" s="581"/>
      <c r="AM84" s="581"/>
      <c r="AN84" s="581"/>
      <c r="AO84" s="581"/>
      <c r="AP84" s="581"/>
      <c r="AQ84" s="581"/>
      <c r="AR84" s="581"/>
      <c r="AS84" s="581"/>
      <c r="AT84" s="581"/>
      <c r="AU84" s="581"/>
      <c r="AV84" s="581"/>
      <c r="AW84" s="765"/>
      <c r="AX84" s="765"/>
      <c r="AY84" s="581"/>
      <c r="AZ84" s="581"/>
      <c r="BA84" s="581"/>
      <c r="BB84" s="581"/>
      <c r="BC84" s="581"/>
      <c r="BD84" s="581"/>
      <c r="BE84" s="581"/>
      <c r="BF84" s="581"/>
      <c r="BG84" s="581"/>
      <c r="BH84" s="581"/>
      <c r="BI84" s="581"/>
    </row>
    <row r="85" spans="1:64" x14ac:dyDescent="0.2">
      <c r="A85" s="580"/>
      <c r="B85" s="580"/>
      <c r="C85" s="580"/>
      <c r="D85" s="580"/>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4"/>
      <c r="AU85" s="635"/>
      <c r="AV85" s="635"/>
      <c r="AW85" s="767"/>
      <c r="AX85" s="767"/>
      <c r="AY85" s="635"/>
      <c r="AZ85" s="635"/>
      <c r="BA85" s="635"/>
      <c r="BB85" s="635"/>
      <c r="BC85" s="635"/>
      <c r="BD85" s="635"/>
      <c r="BE85" s="635"/>
      <c r="BF85" s="635"/>
      <c r="BG85" s="635"/>
      <c r="BH85" s="635"/>
      <c r="BI85" s="635"/>
    </row>
    <row r="86" spans="1:64" x14ac:dyDescent="0.2">
      <c r="AK86" s="580"/>
      <c r="AL86" s="580"/>
      <c r="AM86" s="580"/>
      <c r="AN86" s="580"/>
      <c r="AO86" s="580"/>
      <c r="AP86" s="580"/>
      <c r="AQ86" s="580"/>
      <c r="AR86" s="580"/>
      <c r="AS86" s="580"/>
      <c r="AU86" s="580"/>
      <c r="AV86" s="580"/>
      <c r="AW86" s="587"/>
      <c r="AX86" s="587"/>
      <c r="AY86" s="580"/>
      <c r="AZ86" s="580"/>
      <c r="BA86" s="580"/>
      <c r="BB86" s="580"/>
      <c r="BC86" s="580"/>
      <c r="BD86" s="580"/>
      <c r="BE86" s="580"/>
      <c r="BF86" s="580"/>
      <c r="BG86" s="580"/>
      <c r="BH86" s="580"/>
      <c r="BI86" s="580"/>
    </row>
    <row r="87" spans="1:64" x14ac:dyDescent="0.2">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1"/>
      <c r="AL87" s="581"/>
      <c r="AM87" s="581"/>
      <c r="AN87" s="581"/>
      <c r="AO87" s="581"/>
      <c r="AP87" s="581"/>
      <c r="AQ87" s="581"/>
      <c r="AR87" s="581"/>
      <c r="AS87" s="581"/>
      <c r="AT87" s="581"/>
      <c r="AU87" s="581"/>
      <c r="AV87" s="581"/>
      <c r="AW87" s="765"/>
      <c r="AX87" s="765"/>
      <c r="AY87" s="581"/>
      <c r="AZ87" s="581"/>
      <c r="BA87" s="581"/>
      <c r="BB87" s="581"/>
      <c r="BC87" s="581"/>
      <c r="BD87" s="581"/>
      <c r="BE87" s="581"/>
      <c r="BF87" s="581"/>
      <c r="BG87" s="581"/>
      <c r="BH87" s="581"/>
      <c r="BI87" s="581"/>
    </row>
    <row r="88" spans="1:64" x14ac:dyDescent="0.2">
      <c r="AK88" s="768"/>
      <c r="AS88" s="768"/>
      <c r="AU88" s="580"/>
      <c r="AV88" s="580"/>
      <c r="BG88" s="585"/>
      <c r="BH88" s="585"/>
    </row>
    <row r="89" spans="1:64" x14ac:dyDescent="0.2">
      <c r="AK89" s="585"/>
      <c r="AS89" s="769"/>
      <c r="AU89" s="580"/>
      <c r="AV89" s="580"/>
      <c r="BG89" s="585"/>
      <c r="BH89" s="585"/>
    </row>
    <row r="90" spans="1:64" x14ac:dyDescent="0.2">
      <c r="F90" s="581"/>
      <c r="G90" s="581"/>
      <c r="H90" s="581"/>
      <c r="I90" s="581"/>
      <c r="J90" s="581"/>
      <c r="K90" s="581"/>
      <c r="L90" s="581"/>
      <c r="M90" s="581"/>
      <c r="N90" s="581"/>
      <c r="O90" s="581"/>
      <c r="P90" s="581"/>
      <c r="Q90" s="581"/>
      <c r="S90" s="770"/>
      <c r="AK90" s="585"/>
      <c r="AL90" s="585"/>
      <c r="AO90" s="585"/>
      <c r="AQ90" s="585"/>
      <c r="AR90" s="585"/>
      <c r="AS90" s="585"/>
      <c r="AU90" s="580"/>
      <c r="AV90" s="580"/>
      <c r="AZ90" s="848"/>
      <c r="BA90" s="848"/>
      <c r="BG90" s="771"/>
      <c r="BH90" s="771"/>
    </row>
    <row r="91" spans="1:64" x14ac:dyDescent="0.2">
      <c r="G91" s="770"/>
      <c r="K91" s="770"/>
      <c r="O91" s="770"/>
      <c r="S91" s="770"/>
      <c r="AK91" s="771"/>
      <c r="AL91" s="772"/>
      <c r="AM91" s="771"/>
      <c r="AN91" s="771"/>
      <c r="AO91" s="771"/>
      <c r="AP91" s="773"/>
      <c r="AQ91" s="773"/>
      <c r="AR91" s="774"/>
      <c r="AS91" s="589"/>
      <c r="AU91" s="580"/>
      <c r="AV91" s="580"/>
      <c r="BG91" s="771"/>
      <c r="BH91" s="771"/>
    </row>
    <row r="92" spans="1:64" x14ac:dyDescent="0.2">
      <c r="AK92" s="771"/>
      <c r="AL92" s="771"/>
      <c r="AM92" s="771"/>
      <c r="AN92" s="771"/>
      <c r="AO92" s="771"/>
      <c r="AP92" s="775"/>
      <c r="AQ92" s="771"/>
      <c r="AR92" s="771"/>
      <c r="AS92" s="771"/>
      <c r="AU92" s="580"/>
      <c r="AV92" s="580"/>
      <c r="BG92" s="698"/>
      <c r="BH92" s="698"/>
    </row>
    <row r="93" spans="1:64" x14ac:dyDescent="0.2">
      <c r="AK93" s="698"/>
      <c r="AL93" s="776"/>
      <c r="AM93" s="695"/>
      <c r="AN93" s="695"/>
      <c r="AO93" s="695"/>
      <c r="AP93" s="776"/>
      <c r="AQ93" s="695"/>
      <c r="AR93" s="695"/>
      <c r="AS93" s="688"/>
      <c r="AU93" s="580"/>
      <c r="AV93" s="580"/>
      <c r="BG93" s="695"/>
      <c r="BH93" s="695"/>
    </row>
    <row r="94" spans="1:64" x14ac:dyDescent="0.2">
      <c r="AK94" s="698"/>
      <c r="AL94" s="695"/>
      <c r="AM94" s="695"/>
      <c r="AN94" s="695"/>
      <c r="AO94" s="695"/>
      <c r="AP94" s="695"/>
      <c r="AQ94" s="695"/>
      <c r="AR94" s="695"/>
      <c r="AS94" s="688"/>
      <c r="AU94" s="580"/>
      <c r="AV94" s="580"/>
      <c r="BG94" s="695"/>
      <c r="BH94" s="695"/>
    </row>
    <row r="95" spans="1:64" x14ac:dyDescent="0.2">
      <c r="AK95" s="698"/>
      <c r="AL95" s="695"/>
      <c r="AM95" s="695"/>
      <c r="AN95" s="695"/>
      <c r="AO95" s="695"/>
      <c r="AP95" s="695"/>
      <c r="AQ95" s="695"/>
      <c r="AR95" s="695"/>
      <c r="AS95" s="688"/>
      <c r="AU95" s="580"/>
      <c r="AV95" s="580"/>
      <c r="BG95" s="695"/>
      <c r="BH95" s="695"/>
    </row>
    <row r="96" spans="1:64" x14ac:dyDescent="0.2">
      <c r="AK96" s="695"/>
      <c r="AL96" s="695"/>
      <c r="AM96" s="695"/>
      <c r="AN96" s="695"/>
      <c r="AO96" s="695"/>
      <c r="AP96" s="695"/>
      <c r="AQ96" s="695"/>
      <c r="AR96" s="695"/>
      <c r="AS96" s="695"/>
      <c r="AU96" s="580"/>
      <c r="AV96" s="580"/>
      <c r="BG96" s="777"/>
      <c r="BH96" s="777"/>
    </row>
    <row r="97" spans="37:60" x14ac:dyDescent="0.2">
      <c r="AK97" s="777"/>
      <c r="AL97" s="777"/>
      <c r="AM97" s="777"/>
      <c r="AN97" s="777"/>
      <c r="AO97" s="777"/>
      <c r="AP97" s="777"/>
      <c r="AQ97" s="777"/>
      <c r="AR97" s="777"/>
      <c r="AS97" s="777"/>
      <c r="AU97" s="580"/>
      <c r="AV97" s="580"/>
      <c r="BG97" s="777"/>
      <c r="BH97" s="777"/>
    </row>
    <row r="98" spans="37:60" x14ac:dyDescent="0.2">
      <c r="AK98" s="777"/>
      <c r="AL98" s="777"/>
      <c r="AM98" s="777"/>
      <c r="AN98" s="777"/>
      <c r="AO98" s="777"/>
      <c r="AP98" s="777"/>
      <c r="AQ98" s="777"/>
      <c r="AR98" s="777"/>
      <c r="AS98" s="777"/>
      <c r="AU98" s="580"/>
      <c r="AV98" s="580"/>
      <c r="BG98" s="580"/>
      <c r="BH98" s="580"/>
    </row>
    <row r="99" spans="37:60" x14ac:dyDescent="0.2">
      <c r="AK99" s="580"/>
      <c r="AL99" s="580"/>
      <c r="AM99" s="580"/>
      <c r="AN99" s="580"/>
      <c r="AO99" s="580"/>
      <c r="AP99" s="580"/>
      <c r="AQ99" s="580"/>
      <c r="AR99" s="580"/>
      <c r="AS99" s="580"/>
      <c r="AU99" s="580"/>
      <c r="AV99" s="580"/>
      <c r="BG99" s="580"/>
      <c r="BH99" s="580"/>
    </row>
    <row r="100" spans="37:60" x14ac:dyDescent="0.2">
      <c r="AK100" s="580"/>
      <c r="AL100" s="580"/>
      <c r="AM100" s="580"/>
      <c r="AN100" s="580"/>
      <c r="AO100" s="580"/>
      <c r="AP100" s="580"/>
      <c r="AQ100" s="580"/>
      <c r="AR100" s="580"/>
      <c r="AS100" s="580"/>
      <c r="AU100" s="580"/>
      <c r="AV100" s="580"/>
      <c r="BG100" s="580"/>
      <c r="BH100" s="580"/>
    </row>
    <row r="101" spans="37:60" x14ac:dyDescent="0.2">
      <c r="AK101" s="580"/>
      <c r="AL101" s="580"/>
      <c r="AM101" s="580"/>
      <c r="AN101" s="580"/>
      <c r="AO101" s="580"/>
      <c r="AP101" s="580"/>
      <c r="AQ101" s="580"/>
      <c r="AR101" s="580"/>
      <c r="AS101" s="580"/>
      <c r="AU101" s="580"/>
      <c r="AV101" s="580"/>
      <c r="BG101" s="580"/>
      <c r="BH101" s="580"/>
    </row>
    <row r="102" spans="37:60" x14ac:dyDescent="0.2">
      <c r="AK102" s="580"/>
      <c r="AL102" s="580"/>
      <c r="AM102" s="580"/>
      <c r="AN102" s="580"/>
      <c r="AO102" s="580"/>
      <c r="AP102" s="580"/>
      <c r="AQ102" s="580"/>
      <c r="AR102" s="580"/>
      <c r="AS102" s="580"/>
      <c r="AU102" s="580"/>
      <c r="AV102" s="580"/>
      <c r="BG102" s="580"/>
      <c r="BH102" s="580"/>
    </row>
    <row r="103" spans="37:60" x14ac:dyDescent="0.2">
      <c r="AK103" s="580"/>
      <c r="AL103" s="580"/>
      <c r="AM103" s="580"/>
      <c r="AN103" s="580"/>
      <c r="AO103" s="580"/>
      <c r="AP103" s="580"/>
      <c r="AQ103" s="580"/>
      <c r="AR103" s="580"/>
      <c r="AS103" s="580"/>
      <c r="AU103" s="580"/>
      <c r="AV103" s="580"/>
    </row>
  </sheetData>
  <mergeCells count="11">
    <mergeCell ref="C57:D57"/>
    <mergeCell ref="AW57:AX57"/>
    <mergeCell ref="C68:D68"/>
    <mergeCell ref="C69:D69"/>
    <mergeCell ref="AW69:AX69"/>
    <mergeCell ref="C56:D56"/>
    <mergeCell ref="C10:D10"/>
    <mergeCell ref="C11:D11"/>
    <mergeCell ref="AW11:AX11"/>
    <mergeCell ref="A35:B35"/>
    <mergeCell ref="A41:B41"/>
  </mergeCells>
  <conditionalFormatting sqref="A54:A55 AM63:AS66 A75:A77 A67 A42:B46 AO45:AS50 AM45:AN49 BF45:BH50 BD66:BH66 BF63:BH65">
    <cfRule type="cellIs" dxfId="64" priority="5" stopIfTrue="1" operator="equal">
      <formula>0</formula>
    </cfRule>
  </conditionalFormatting>
  <conditionalFormatting sqref="BB66:BC66">
    <cfRule type="cellIs" dxfId="63" priority="4" stopIfTrue="1" operator="equal">
      <formula>0</formula>
    </cfRule>
  </conditionalFormatting>
  <conditionalFormatting sqref="BB66">
    <cfRule type="cellIs" dxfId="62" priority="3" stopIfTrue="1" operator="equal">
      <formula>0</formula>
    </cfRule>
  </conditionalFormatting>
  <conditionalFormatting sqref="BA66">
    <cfRule type="cellIs" dxfId="61" priority="2" stopIfTrue="1" operator="equal">
      <formula>0</formula>
    </cfRule>
  </conditionalFormatting>
  <conditionalFormatting sqref="AZ66">
    <cfRule type="cellIs" dxfId="60" priority="1" stopIfTrue="1" operator="equal">
      <formula>0</formula>
    </cfRule>
  </conditionalFormatting>
  <printOptions horizontalCentered="1"/>
  <pageMargins left="0.3" right="0.3" top="0.4" bottom="0.6" header="0" footer="0.3"/>
  <pageSetup scale="54"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95"/>
  <sheetViews>
    <sheetView zoomScale="80" zoomScaleNormal="80" zoomScaleSheetLayoutView="80" zoomScalePageLayoutView="70" workbookViewId="0">
      <selection activeCell="D64" sqref="D64"/>
    </sheetView>
  </sheetViews>
  <sheetFormatPr defaultRowHeight="12.75" x14ac:dyDescent="0.2"/>
  <cols>
    <col min="1" max="1" width="2.7109375" style="1602" customWidth="1"/>
    <col min="2" max="2" width="45.7109375" style="1602" customWidth="1"/>
    <col min="3" max="3" width="11.42578125" style="1602" customWidth="1"/>
    <col min="4" max="4" width="9.7109375" style="1602" customWidth="1"/>
    <col min="5" max="5" width="1.5703125" style="1560" customWidth="1"/>
    <col min="6" max="8" width="9.42578125" style="1560" hidden="1" customWidth="1"/>
    <col min="9" max="9" width="9.42578125" style="1560" customWidth="1"/>
    <col min="10" max="10" width="9.7109375" style="1603" customWidth="1"/>
    <col min="11" max="11" width="10.7109375" style="1603" customWidth="1"/>
    <col min="12" max="13" width="8.7109375" style="1603" customWidth="1"/>
    <col min="14" max="14" width="9.7109375" style="1603" customWidth="1"/>
    <col min="15" max="15" width="7.28515625" style="1603" bestFit="1" customWidth="1"/>
    <col min="16" max="17" width="8.7109375" style="1603" customWidth="1"/>
    <col min="18" max="33" width="8.7109375" style="1603" hidden="1" customWidth="1"/>
    <col min="34" max="40" width="9.7109375" style="1603" hidden="1" customWidth="1"/>
    <col min="41" max="49" width="9.7109375" style="1602" hidden="1" customWidth="1"/>
    <col min="50" max="50" width="1.5703125" style="1602" hidden="1" customWidth="1"/>
    <col min="51" max="51" width="9.42578125" style="1602" hidden="1" customWidth="1"/>
    <col min="52" max="52" width="9" style="1602" hidden="1" customWidth="1"/>
    <col min="53" max="53" width="11.28515625" style="1653" hidden="1" customWidth="1"/>
    <col min="54" max="54" width="9.7109375" style="1653" hidden="1" customWidth="1"/>
    <col min="55" max="55" width="1.5703125" style="1602" customWidth="1"/>
    <col min="56" max="56" width="10.7109375" style="1602" customWidth="1"/>
    <col min="57" max="60" width="9.7109375" style="1602" customWidth="1"/>
    <col min="61" max="68" width="9.7109375" style="1602" hidden="1" customWidth="1"/>
    <col min="69" max="69" width="1.5703125" style="1602" customWidth="1"/>
    <col min="70" max="16384" width="9.140625" style="1559"/>
  </cols>
  <sheetData>
    <row r="2" spans="1:76" x14ac:dyDescent="0.2">
      <c r="K2" s="1652"/>
      <c r="L2" s="1652"/>
      <c r="M2" s="1652"/>
      <c r="O2" s="1652"/>
      <c r="P2" s="1652"/>
      <c r="Q2" s="1652"/>
      <c r="S2" s="1652"/>
      <c r="T2" s="1652"/>
      <c r="U2" s="1652"/>
      <c r="W2" s="1652"/>
      <c r="X2" s="1652"/>
      <c r="Y2" s="1652"/>
      <c r="AB2" s="1652"/>
      <c r="AC2" s="1652"/>
      <c r="AF2" s="1652"/>
      <c r="AG2" s="1652"/>
      <c r="AJ2" s="1652"/>
      <c r="AK2" s="1652"/>
    </row>
    <row r="5" spans="1:76" x14ac:dyDescent="0.2">
      <c r="A5" s="1603"/>
      <c r="B5" s="1603"/>
      <c r="C5" s="1603"/>
      <c r="D5" s="1603"/>
      <c r="AO5" s="1603"/>
      <c r="AP5" s="1603"/>
      <c r="AQ5" s="1603"/>
    </row>
    <row r="6" spans="1:76" ht="18" customHeight="1" x14ac:dyDescent="0.2">
      <c r="A6" s="1604" t="s">
        <v>348</v>
      </c>
      <c r="B6" s="1603"/>
      <c r="C6" s="1603"/>
      <c r="D6" s="1603"/>
      <c r="K6" s="1652"/>
      <c r="L6" s="1654"/>
      <c r="O6" s="1652"/>
      <c r="P6" s="1654"/>
      <c r="S6" s="1652"/>
      <c r="T6" s="1654"/>
      <c r="AO6" s="1603"/>
      <c r="AP6" s="1603"/>
      <c r="AQ6" s="1603"/>
    </row>
    <row r="7" spans="1:76" ht="18" customHeight="1" x14ac:dyDescent="0.2">
      <c r="A7" s="1604" t="s">
        <v>364</v>
      </c>
      <c r="B7" s="1603"/>
      <c r="C7" s="1603"/>
      <c r="D7" s="1603"/>
      <c r="K7" s="1655"/>
      <c r="O7" s="1655"/>
      <c r="S7" s="1655"/>
      <c r="AO7" s="1603"/>
      <c r="AP7" s="1603"/>
      <c r="AQ7" s="1603"/>
    </row>
    <row r="8" spans="1:76" ht="18" customHeight="1" x14ac:dyDescent="0.2">
      <c r="A8" s="1604" t="s">
        <v>363</v>
      </c>
      <c r="B8" s="1605"/>
      <c r="C8" s="1605"/>
      <c r="D8" s="1605"/>
      <c r="E8" s="1562"/>
      <c r="F8" s="1562"/>
      <c r="G8" s="1562"/>
      <c r="H8" s="1562"/>
      <c r="I8" s="1562"/>
      <c r="J8" s="1605"/>
      <c r="K8" s="1605"/>
      <c r="L8" s="1605"/>
      <c r="M8" s="1605"/>
      <c r="N8" s="1605"/>
      <c r="O8" s="1605"/>
      <c r="P8" s="1605"/>
      <c r="Q8" s="1605"/>
      <c r="R8" s="1605"/>
      <c r="S8" s="1605"/>
      <c r="T8" s="1605"/>
      <c r="U8" s="1605"/>
      <c r="V8" s="1605"/>
      <c r="W8" s="1605"/>
      <c r="X8" s="1605"/>
      <c r="Y8" s="1605"/>
      <c r="Z8" s="1605"/>
      <c r="AA8" s="1605"/>
      <c r="AB8" s="1605"/>
      <c r="AC8" s="1605"/>
      <c r="AD8" s="1605"/>
      <c r="AE8" s="1605"/>
      <c r="AF8" s="1605"/>
      <c r="AG8" s="1605"/>
      <c r="AH8" s="1605"/>
      <c r="AI8" s="1605"/>
      <c r="AJ8" s="1605"/>
      <c r="AK8" s="1605"/>
      <c r="AL8" s="1605"/>
      <c r="AM8" s="1605"/>
      <c r="AN8" s="1605"/>
      <c r="AO8" s="1603"/>
      <c r="AP8" s="1603"/>
      <c r="AQ8" s="1603"/>
    </row>
    <row r="9" spans="1:76" ht="9.75" customHeight="1" x14ac:dyDescent="0.2">
      <c r="A9" s="1606"/>
      <c r="B9" s="1606"/>
      <c r="C9" s="1606"/>
      <c r="D9" s="1606"/>
      <c r="E9" s="1563"/>
      <c r="F9" s="1563"/>
      <c r="G9" s="1563"/>
      <c r="H9" s="1563"/>
      <c r="I9" s="1563"/>
      <c r="J9" s="1606"/>
      <c r="K9" s="1656"/>
      <c r="L9" s="1656"/>
      <c r="M9" s="1606"/>
      <c r="N9" s="1606"/>
      <c r="O9" s="1656"/>
      <c r="P9" s="1656"/>
      <c r="Q9" s="1606"/>
      <c r="R9" s="1606"/>
      <c r="S9" s="1656"/>
      <c r="T9" s="1656"/>
      <c r="U9" s="1606"/>
      <c r="V9" s="1606"/>
      <c r="W9" s="1656"/>
      <c r="X9" s="1656"/>
      <c r="Y9" s="1606"/>
      <c r="Z9" s="1606"/>
      <c r="AA9" s="1606"/>
      <c r="AB9" s="1656"/>
      <c r="AC9" s="1606"/>
      <c r="AD9" s="1656"/>
      <c r="AE9" s="1606"/>
      <c r="AF9" s="1656"/>
      <c r="AG9" s="1606"/>
      <c r="AH9" s="1656"/>
      <c r="AI9" s="1606"/>
      <c r="AJ9" s="1656"/>
      <c r="AK9" s="1606"/>
      <c r="AL9" s="1656"/>
      <c r="AM9" s="1606"/>
      <c r="AN9" s="1606"/>
      <c r="AO9" s="1603"/>
      <c r="AP9" s="1603"/>
      <c r="AQ9" s="1603"/>
      <c r="BA9" s="1657"/>
      <c r="BB9" s="1657"/>
    </row>
    <row r="10" spans="1:76" x14ac:dyDescent="0.2">
      <c r="A10" s="1607" t="s">
        <v>1</v>
      </c>
      <c r="B10" s="1608"/>
      <c r="C10" s="2476" t="str">
        <f>'3 Canaccord Genuity '!C12:D12</f>
        <v>Q1/17 vs. Q1/16</v>
      </c>
      <c r="D10" s="2477"/>
      <c r="E10" s="1565"/>
      <c r="F10" s="1566"/>
      <c r="G10" s="1566"/>
      <c r="H10" s="1566"/>
      <c r="I10" s="2321"/>
      <c r="J10" s="1659"/>
      <c r="K10" s="1659"/>
      <c r="M10" s="1658"/>
      <c r="N10" s="1659"/>
      <c r="O10" s="1659"/>
      <c r="Q10" s="1658"/>
      <c r="R10" s="1659"/>
      <c r="S10" s="1659"/>
      <c r="U10" s="1658"/>
      <c r="V10" s="1659"/>
      <c r="W10" s="1659"/>
      <c r="Y10" s="1658"/>
      <c r="Z10" s="1659"/>
      <c r="AA10" s="1659"/>
      <c r="AC10" s="1658"/>
      <c r="AD10" s="1659"/>
      <c r="AE10" s="1659"/>
      <c r="AG10" s="1658"/>
      <c r="AH10" s="1659"/>
      <c r="AI10" s="1659"/>
      <c r="AK10" s="1658"/>
      <c r="AM10" s="1659"/>
      <c r="AN10" s="1659"/>
      <c r="AO10" s="1658"/>
      <c r="AP10" s="1659"/>
      <c r="AQ10" s="1659"/>
      <c r="AR10" s="1659"/>
      <c r="AS10" s="1659"/>
      <c r="AT10" s="1660"/>
      <c r="AU10" s="1658"/>
      <c r="AV10" s="1658"/>
      <c r="AW10" s="1659"/>
      <c r="AX10" s="1661"/>
      <c r="AY10" s="1006" t="s">
        <v>448</v>
      </c>
      <c r="AZ10" s="1006"/>
      <c r="BA10" s="1006" t="s">
        <v>441</v>
      </c>
      <c r="BB10" s="1007"/>
      <c r="BC10" s="1662"/>
      <c r="BD10" s="1663"/>
      <c r="BE10" s="1663"/>
      <c r="BF10" s="1663"/>
      <c r="BG10" s="1663"/>
      <c r="BH10" s="1663"/>
      <c r="BI10" s="1663"/>
      <c r="BJ10" s="1663"/>
      <c r="BK10" s="1663"/>
      <c r="BL10" s="1660"/>
      <c r="BM10" s="1664"/>
      <c r="BN10" s="1663"/>
      <c r="BO10" s="1665"/>
      <c r="BP10" s="1665"/>
      <c r="BQ10" s="1666"/>
    </row>
    <row r="11" spans="1:76" ht="13.5" x14ac:dyDescent="0.2">
      <c r="A11" s="1607" t="s">
        <v>2</v>
      </c>
      <c r="B11" s="1608"/>
      <c r="C11" s="2478" t="s">
        <v>39</v>
      </c>
      <c r="D11" s="2479"/>
      <c r="E11" s="1568"/>
      <c r="F11" s="925" t="s">
        <v>452</v>
      </c>
      <c r="G11" s="925" t="s">
        <v>453</v>
      </c>
      <c r="H11" s="925" t="s">
        <v>454</v>
      </c>
      <c r="I11" s="2281" t="s">
        <v>455</v>
      </c>
      <c r="J11" s="1010" t="s">
        <v>399</v>
      </c>
      <c r="K11" s="1010" t="s">
        <v>398</v>
      </c>
      <c r="L11" s="1010" t="s">
        <v>397</v>
      </c>
      <c r="M11" s="1011" t="s">
        <v>395</v>
      </c>
      <c r="N11" s="1010" t="s">
        <v>373</v>
      </c>
      <c r="O11" s="1010" t="s">
        <v>374</v>
      </c>
      <c r="P11" s="1010" t="s">
        <v>375</v>
      </c>
      <c r="Q11" s="1011" t="s">
        <v>376</v>
      </c>
      <c r="R11" s="1667" t="s">
        <v>330</v>
      </c>
      <c r="S11" s="1667" t="s">
        <v>329</v>
      </c>
      <c r="T11" s="1667" t="s">
        <v>328</v>
      </c>
      <c r="U11" s="1668" t="s">
        <v>326</v>
      </c>
      <c r="V11" s="1667" t="s">
        <v>282</v>
      </c>
      <c r="W11" s="1667" t="s">
        <v>283</v>
      </c>
      <c r="X11" s="1667" t="s">
        <v>284</v>
      </c>
      <c r="Y11" s="1668" t="s">
        <v>285</v>
      </c>
      <c r="Z11" s="1667" t="s">
        <v>220</v>
      </c>
      <c r="AA11" s="1667" t="s">
        <v>221</v>
      </c>
      <c r="AB11" s="1667" t="s">
        <v>222</v>
      </c>
      <c r="AC11" s="1668" t="s">
        <v>219</v>
      </c>
      <c r="AD11" s="1667" t="s">
        <v>185</v>
      </c>
      <c r="AE11" s="1667" t="s">
        <v>186</v>
      </c>
      <c r="AF11" s="1667" t="s">
        <v>187</v>
      </c>
      <c r="AG11" s="1668" t="s">
        <v>188</v>
      </c>
      <c r="AH11" s="1667" t="s">
        <v>118</v>
      </c>
      <c r="AI11" s="1667" t="s">
        <v>117</v>
      </c>
      <c r="AJ11" s="1667" t="s">
        <v>116</v>
      </c>
      <c r="AK11" s="1668" t="s">
        <v>115</v>
      </c>
      <c r="AL11" s="1667" t="s">
        <v>83</v>
      </c>
      <c r="AM11" s="1667" t="s">
        <v>84</v>
      </c>
      <c r="AN11" s="1667" t="s">
        <v>85</v>
      </c>
      <c r="AO11" s="1668" t="s">
        <v>30</v>
      </c>
      <c r="AP11" s="1667" t="s">
        <v>31</v>
      </c>
      <c r="AQ11" s="1667" t="s">
        <v>32</v>
      </c>
      <c r="AR11" s="1667" t="s">
        <v>33</v>
      </c>
      <c r="AS11" s="1667" t="s">
        <v>34</v>
      </c>
      <c r="AT11" s="1669" t="s">
        <v>35</v>
      </c>
      <c r="AU11" s="1668" t="s">
        <v>36</v>
      </c>
      <c r="AV11" s="1668" t="s">
        <v>37</v>
      </c>
      <c r="AW11" s="1667" t="s">
        <v>38</v>
      </c>
      <c r="AX11" s="1670"/>
      <c r="AY11" s="1010" t="s">
        <v>399</v>
      </c>
      <c r="AZ11" s="1010" t="s">
        <v>373</v>
      </c>
      <c r="BA11" s="2453" t="s">
        <v>39</v>
      </c>
      <c r="BB11" s="2454"/>
      <c r="BC11" s="1671"/>
      <c r="BD11" s="1012" t="s">
        <v>438</v>
      </c>
      <c r="BE11" s="1012" t="s">
        <v>385</v>
      </c>
      <c r="BF11" s="1012" t="s">
        <v>332</v>
      </c>
      <c r="BG11" s="1672" t="s">
        <v>287</v>
      </c>
      <c r="BH11" s="1672" t="s">
        <v>224</v>
      </c>
      <c r="BI11" s="1672" t="s">
        <v>120</v>
      </c>
      <c r="BJ11" s="1672" t="s">
        <v>119</v>
      </c>
      <c r="BK11" s="1669" t="s">
        <v>43</v>
      </c>
      <c r="BL11" s="1669" t="s">
        <v>40</v>
      </c>
      <c r="BM11" s="1672" t="s">
        <v>41</v>
      </c>
      <c r="BN11" s="1672" t="s">
        <v>138</v>
      </c>
      <c r="BO11" s="1672" t="s">
        <v>139</v>
      </c>
      <c r="BP11" s="1672" t="s">
        <v>140</v>
      </c>
      <c r="BQ11" s="1666"/>
      <c r="BR11" s="1560"/>
      <c r="BS11" s="1560"/>
      <c r="BT11" s="1560"/>
      <c r="BU11" s="1560"/>
      <c r="BV11" s="1560"/>
      <c r="BW11" s="1560"/>
      <c r="BX11" s="1560"/>
    </row>
    <row r="12" spans="1:76" s="1571" customFormat="1" x14ac:dyDescent="0.2">
      <c r="A12" s="1607"/>
      <c r="B12" s="1607"/>
      <c r="C12" s="1609"/>
      <c r="D12" s="1610"/>
      <c r="E12" s="1569"/>
      <c r="F12" s="1186"/>
      <c r="G12" s="1186"/>
      <c r="H12" s="1186"/>
      <c r="I12" s="2282"/>
      <c r="J12" s="1268"/>
      <c r="K12" s="1268"/>
      <c r="L12" s="1268"/>
      <c r="M12" s="1269"/>
      <c r="N12" s="1268"/>
      <c r="O12" s="1268"/>
      <c r="P12" s="1268"/>
      <c r="Q12" s="1269"/>
      <c r="R12" s="1673"/>
      <c r="S12" s="1673"/>
      <c r="T12" s="1673"/>
      <c r="U12" s="1674"/>
      <c r="V12" s="1673"/>
      <c r="W12" s="1673"/>
      <c r="X12" s="1673"/>
      <c r="Y12" s="1674"/>
      <c r="Z12" s="1673"/>
      <c r="AA12" s="1673"/>
      <c r="AB12" s="1673"/>
      <c r="AC12" s="1674"/>
      <c r="AD12" s="1673"/>
      <c r="AE12" s="1673"/>
      <c r="AF12" s="1673"/>
      <c r="AG12" s="1674"/>
      <c r="AH12" s="1673"/>
      <c r="AI12" s="1673"/>
      <c r="AJ12" s="1673"/>
      <c r="AK12" s="1674"/>
      <c r="AL12" s="1675"/>
      <c r="AM12" s="1675"/>
      <c r="AN12" s="1675"/>
      <c r="AO12" s="1676"/>
      <c r="AP12" s="1675"/>
      <c r="AQ12" s="1675"/>
      <c r="AR12" s="1675"/>
      <c r="AS12" s="1675"/>
      <c r="AT12" s="1677"/>
      <c r="AU12" s="1676"/>
      <c r="AV12" s="1676"/>
      <c r="AW12" s="1675"/>
      <c r="AX12" s="1678"/>
      <c r="AY12" s="1679"/>
      <c r="AZ12" s="1679"/>
      <c r="BA12" s="1680"/>
      <c r="BB12" s="1681"/>
      <c r="BC12" s="1682"/>
      <c r="BD12" s="1683"/>
      <c r="BE12" s="1683"/>
      <c r="BF12" s="1683"/>
      <c r="BG12" s="1683"/>
      <c r="BH12" s="1683"/>
      <c r="BI12" s="1683"/>
      <c r="BJ12" s="1684" t="s">
        <v>241</v>
      </c>
      <c r="BK12" s="1684" t="s">
        <v>241</v>
      </c>
      <c r="BL12" s="1684" t="s">
        <v>241</v>
      </c>
      <c r="BM12" s="1684" t="s">
        <v>241</v>
      </c>
      <c r="BN12" s="1684" t="s">
        <v>241</v>
      </c>
      <c r="BO12" s="1685"/>
      <c r="BP12" s="1685"/>
      <c r="BQ12" s="1686"/>
      <c r="BR12" s="1570"/>
      <c r="BS12" s="1570"/>
      <c r="BT12" s="1570"/>
      <c r="BU12" s="1570"/>
      <c r="BV12" s="1570"/>
      <c r="BW12" s="1570"/>
      <c r="BX12" s="1570"/>
    </row>
    <row r="13" spans="1:76" ht="12.75" customHeight="1" x14ac:dyDescent="0.2">
      <c r="A13" s="1611" t="s">
        <v>61</v>
      </c>
      <c r="B13" s="1612"/>
      <c r="C13" s="1613"/>
      <c r="D13" s="1614"/>
      <c r="E13" s="1572"/>
      <c r="F13" s="1573"/>
      <c r="G13" s="1573"/>
      <c r="H13" s="1573"/>
      <c r="I13" s="2322"/>
      <c r="J13" s="1633"/>
      <c r="K13" s="1633"/>
      <c r="L13" s="1633"/>
      <c r="M13" s="1614"/>
      <c r="N13" s="1633"/>
      <c r="O13" s="1633"/>
      <c r="P13" s="1633"/>
      <c r="Q13" s="1614"/>
      <c r="R13" s="1633"/>
      <c r="S13" s="1633"/>
      <c r="T13" s="1633"/>
      <c r="U13" s="1614"/>
      <c r="V13" s="1633"/>
      <c r="W13" s="1633"/>
      <c r="X13" s="1633"/>
      <c r="Y13" s="1614"/>
      <c r="Z13" s="1633"/>
      <c r="AA13" s="1633"/>
      <c r="AB13" s="1633"/>
      <c r="AC13" s="1614"/>
      <c r="AD13" s="1633"/>
      <c r="AE13" s="1633"/>
      <c r="AF13" s="1633"/>
      <c r="AG13" s="1614"/>
      <c r="AH13" s="1633"/>
      <c r="AI13" s="1633"/>
      <c r="AJ13" s="1633"/>
      <c r="AK13" s="1614"/>
      <c r="AL13" s="1633"/>
      <c r="AM13" s="1633"/>
      <c r="AN13" s="1633"/>
      <c r="AO13" s="1614"/>
      <c r="AP13" s="1633"/>
      <c r="AQ13" s="1633"/>
      <c r="AR13" s="1633"/>
      <c r="AS13" s="1614"/>
      <c r="AT13" s="1613"/>
      <c r="AU13" s="1614"/>
      <c r="AV13" s="1614"/>
      <c r="AW13" s="1633"/>
      <c r="AX13" s="1687"/>
      <c r="AY13" s="1633"/>
      <c r="AZ13" s="1633"/>
      <c r="BA13" s="1688"/>
      <c r="BB13" s="1689"/>
      <c r="BC13" s="1635"/>
      <c r="BD13" s="1687"/>
      <c r="BE13" s="1687"/>
      <c r="BF13" s="1687"/>
      <c r="BG13" s="1687"/>
      <c r="BH13" s="1687"/>
      <c r="BI13" s="1687"/>
      <c r="BJ13" s="1687"/>
      <c r="BK13" s="1687"/>
      <c r="BL13" s="1613"/>
      <c r="BM13" s="1687"/>
      <c r="BN13" s="1690"/>
      <c r="BO13" s="1691"/>
      <c r="BP13" s="1691"/>
      <c r="BQ13" s="1666"/>
      <c r="BR13" s="1560"/>
      <c r="BS13" s="1560"/>
      <c r="BT13" s="1560"/>
      <c r="BU13" s="1560"/>
      <c r="BV13" s="1560"/>
    </row>
    <row r="14" spans="1:76" ht="12.75" customHeight="1" x14ac:dyDescent="0.2">
      <c r="A14" s="1608"/>
      <c r="B14" s="1614" t="s">
        <v>348</v>
      </c>
      <c r="C14" s="1615">
        <v>14556</v>
      </c>
      <c r="D14" s="1056">
        <v>0.423928238583411</v>
      </c>
      <c r="E14" s="1574"/>
      <c r="F14" s="1575"/>
      <c r="G14" s="1575"/>
      <c r="H14" s="1576"/>
      <c r="I14" s="2323">
        <v>48892</v>
      </c>
      <c r="J14" s="1694">
        <v>39106</v>
      </c>
      <c r="K14" s="1694">
        <v>33199</v>
      </c>
      <c r="L14" s="1692">
        <v>24758</v>
      </c>
      <c r="M14" s="1693">
        <v>34336</v>
      </c>
      <c r="N14" s="1694">
        <v>48292</v>
      </c>
      <c r="O14" s="1694">
        <v>29192</v>
      </c>
      <c r="P14" s="1692">
        <v>68913</v>
      </c>
      <c r="Q14" s="1693">
        <v>58188</v>
      </c>
      <c r="R14" s="1694">
        <v>43057</v>
      </c>
      <c r="S14" s="1694">
        <v>41283</v>
      </c>
      <c r="T14" s="1692">
        <v>31264</v>
      </c>
      <c r="U14" s="1693">
        <v>32910</v>
      </c>
      <c r="V14" s="1692">
        <v>56814</v>
      </c>
      <c r="W14" s="1692">
        <v>76454</v>
      </c>
      <c r="X14" s="1692">
        <v>35445</v>
      </c>
      <c r="Y14" s="1693">
        <v>35624</v>
      </c>
      <c r="Z14" s="1692">
        <v>71006</v>
      </c>
      <c r="AA14" s="1692">
        <v>56942</v>
      </c>
      <c r="AB14" s="1692">
        <v>42491</v>
      </c>
      <c r="AC14" s="1693">
        <v>61867</v>
      </c>
      <c r="AD14" s="1692">
        <v>88632</v>
      </c>
      <c r="AE14" s="1692">
        <v>109404</v>
      </c>
      <c r="AF14" s="1692">
        <v>49909</v>
      </c>
      <c r="AG14" s="1693">
        <v>53057</v>
      </c>
      <c r="AH14" s="1692">
        <v>32806</v>
      </c>
      <c r="AI14" s="1692">
        <v>58040</v>
      </c>
      <c r="AJ14" s="1695">
        <v>27314</v>
      </c>
      <c r="AK14" s="1693">
        <v>30054</v>
      </c>
      <c r="AL14" s="1696">
        <v>25033</v>
      </c>
      <c r="AM14" s="1696">
        <v>12639</v>
      </c>
      <c r="AN14" s="1696">
        <v>23461</v>
      </c>
      <c r="AO14" s="1693">
        <v>34352</v>
      </c>
      <c r="AP14" s="1697">
        <v>31944</v>
      </c>
      <c r="AQ14" s="1698">
        <v>42952</v>
      </c>
      <c r="AR14" s="1698">
        <v>39210</v>
      </c>
      <c r="AS14" s="1699">
        <v>62549</v>
      </c>
      <c r="AT14" s="1700">
        <v>57382</v>
      </c>
      <c r="AU14" s="1699">
        <v>48897</v>
      </c>
      <c r="AV14" s="1699">
        <v>38533</v>
      </c>
      <c r="AW14" s="1697">
        <v>42750</v>
      </c>
      <c r="AX14" s="1687"/>
      <c r="AY14" s="1692">
        <v>131399</v>
      </c>
      <c r="AZ14" s="1692">
        <v>204585</v>
      </c>
      <c r="BA14" s="1701">
        <v>-73186</v>
      </c>
      <c r="BB14" s="1618">
        <v>-0.35772906127037662</v>
      </c>
      <c r="BC14" s="1635"/>
      <c r="BD14" s="1761">
        <v>131399</v>
      </c>
      <c r="BE14" s="1702">
        <v>204585</v>
      </c>
      <c r="BF14" s="1702">
        <v>148514</v>
      </c>
      <c r="BG14" s="1702">
        <v>204337</v>
      </c>
      <c r="BH14" s="1702">
        <v>232306</v>
      </c>
      <c r="BI14" s="1702">
        <v>338520</v>
      </c>
      <c r="BJ14" s="1702">
        <v>177581</v>
      </c>
      <c r="BK14" s="1702">
        <v>122850</v>
      </c>
      <c r="BL14" s="1702">
        <v>176655</v>
      </c>
      <c r="BM14" s="1702">
        <v>187562</v>
      </c>
      <c r="BN14" s="1690">
        <v>150470</v>
      </c>
      <c r="BO14" s="1690">
        <v>95559</v>
      </c>
      <c r="BP14" s="1690"/>
      <c r="BQ14" s="1603"/>
      <c r="BR14" s="1560"/>
      <c r="BS14" s="1560"/>
      <c r="BT14" s="1560"/>
      <c r="BU14" s="1560"/>
      <c r="BV14" s="1560"/>
    </row>
    <row r="15" spans="1:76" ht="12.75" customHeight="1" x14ac:dyDescent="0.2">
      <c r="A15" s="1612"/>
      <c r="B15" s="1608"/>
      <c r="C15" s="1616">
        <v>14556</v>
      </c>
      <c r="D15" s="1617">
        <v>0.423928238583411</v>
      </c>
      <c r="E15" s="1574"/>
      <c r="F15" s="1576">
        <v>0</v>
      </c>
      <c r="G15" s="1576">
        <v>0</v>
      </c>
      <c r="H15" s="1576">
        <v>0</v>
      </c>
      <c r="I15" s="2324">
        <v>48892</v>
      </c>
      <c r="J15" s="1692">
        <v>39106</v>
      </c>
      <c r="K15" s="1692">
        <v>33199</v>
      </c>
      <c r="L15" s="1692">
        <v>24758</v>
      </c>
      <c r="M15" s="1703">
        <v>34336</v>
      </c>
      <c r="N15" s="1694">
        <v>48292</v>
      </c>
      <c r="O15" s="1694">
        <v>29192</v>
      </c>
      <c r="P15" s="1692">
        <v>68913</v>
      </c>
      <c r="Q15" s="1703">
        <v>58188</v>
      </c>
      <c r="R15" s="1694">
        <v>43057</v>
      </c>
      <c r="S15" s="1694">
        <v>41283</v>
      </c>
      <c r="T15" s="1692">
        <v>31264</v>
      </c>
      <c r="U15" s="1703">
        <v>32910</v>
      </c>
      <c r="V15" s="1692">
        <v>56814</v>
      </c>
      <c r="W15" s="1692">
        <v>76454</v>
      </c>
      <c r="X15" s="1692">
        <v>35445</v>
      </c>
      <c r="Y15" s="1703">
        <v>35624</v>
      </c>
      <c r="Z15" s="1692">
        <v>71006</v>
      </c>
      <c r="AA15" s="1692">
        <v>56942</v>
      </c>
      <c r="AB15" s="1692">
        <v>42491</v>
      </c>
      <c r="AC15" s="1703">
        <v>61867</v>
      </c>
      <c r="AD15" s="1692">
        <v>88632</v>
      </c>
      <c r="AE15" s="1692">
        <v>109404</v>
      </c>
      <c r="AF15" s="1692">
        <v>49909</v>
      </c>
      <c r="AG15" s="1703">
        <v>53057</v>
      </c>
      <c r="AH15" s="1692">
        <v>32806</v>
      </c>
      <c r="AI15" s="1692">
        <v>58040</v>
      </c>
      <c r="AJ15" s="1692">
        <v>27314</v>
      </c>
      <c r="AK15" s="1703">
        <v>30054</v>
      </c>
      <c r="AL15" s="1704">
        <v>25033</v>
      </c>
      <c r="AM15" s="1704">
        <v>12639</v>
      </c>
      <c r="AN15" s="1704">
        <v>23461</v>
      </c>
      <c r="AO15" s="1703">
        <v>34352</v>
      </c>
      <c r="AP15" s="1704">
        <v>31944</v>
      </c>
      <c r="AQ15" s="1704">
        <v>42952</v>
      </c>
      <c r="AR15" s="1704">
        <v>39210</v>
      </c>
      <c r="AS15" s="1704">
        <v>62549</v>
      </c>
      <c r="AT15" s="1705">
        <v>57382</v>
      </c>
      <c r="AU15" s="1703">
        <v>48897</v>
      </c>
      <c r="AV15" s="1703">
        <v>38533</v>
      </c>
      <c r="AW15" s="1704">
        <v>42750</v>
      </c>
      <c r="AX15" s="1687"/>
      <c r="AY15" s="1692">
        <v>131399</v>
      </c>
      <c r="AZ15" s="1692">
        <v>204585</v>
      </c>
      <c r="BA15" s="1706">
        <v>-73186</v>
      </c>
      <c r="BB15" s="1617">
        <v>-0.35772906127037662</v>
      </c>
      <c r="BC15" s="1635"/>
      <c r="BD15" s="2244">
        <v>131399</v>
      </c>
      <c r="BE15" s="1707">
        <v>204585</v>
      </c>
      <c r="BF15" s="1707">
        <v>148514</v>
      </c>
      <c r="BG15" s="1707">
        <v>204337</v>
      </c>
      <c r="BH15" s="1707">
        <v>232306</v>
      </c>
      <c r="BI15" s="1707">
        <v>338520</v>
      </c>
      <c r="BJ15" s="1707">
        <v>177581</v>
      </c>
      <c r="BK15" s="1707">
        <v>122850</v>
      </c>
      <c r="BL15" s="1707">
        <v>176655</v>
      </c>
      <c r="BM15" s="1707">
        <v>187562</v>
      </c>
      <c r="BN15" s="1708">
        <v>150470</v>
      </c>
      <c r="BO15" s="1708">
        <f>BO14</f>
        <v>95559</v>
      </c>
      <c r="BP15" s="1708">
        <v>211758</v>
      </c>
      <c r="BQ15" s="1603"/>
      <c r="BS15" s="1560"/>
      <c r="BT15" s="1560"/>
      <c r="BU15" s="1560"/>
      <c r="BV15" s="1560"/>
    </row>
    <row r="16" spans="1:76" ht="12.75" customHeight="1" x14ac:dyDescent="0.2">
      <c r="A16" s="1611" t="s">
        <v>5</v>
      </c>
      <c r="B16" s="1608"/>
      <c r="C16" s="1615"/>
      <c r="D16" s="1618"/>
      <c r="E16" s="1574"/>
      <c r="F16" s="1579"/>
      <c r="G16" s="1579"/>
      <c r="H16" s="1577"/>
      <c r="I16" s="2323"/>
      <c r="J16" s="1709"/>
      <c r="K16" s="1709"/>
      <c r="L16" s="1696"/>
      <c r="M16" s="1693"/>
      <c r="N16" s="1709"/>
      <c r="O16" s="1709"/>
      <c r="P16" s="1696"/>
      <c r="Q16" s="1693"/>
      <c r="R16" s="1709"/>
      <c r="S16" s="1709"/>
      <c r="T16" s="1696"/>
      <c r="U16" s="1693"/>
      <c r="V16" s="1696"/>
      <c r="W16" s="1696"/>
      <c r="X16" s="1696"/>
      <c r="Y16" s="1693"/>
      <c r="Z16" s="1696"/>
      <c r="AA16" s="1710"/>
      <c r="AB16" s="1696"/>
      <c r="AC16" s="1693"/>
      <c r="AD16" s="1696"/>
      <c r="AE16" s="1710"/>
      <c r="AF16" s="1696"/>
      <c r="AG16" s="1693"/>
      <c r="AH16" s="1696"/>
      <c r="AI16" s="1710"/>
      <c r="AJ16" s="1696"/>
      <c r="AK16" s="1693"/>
      <c r="AL16" s="1710"/>
      <c r="AM16" s="1710"/>
      <c r="AN16" s="1710"/>
      <c r="AO16" s="1711"/>
      <c r="AP16" s="1712"/>
      <c r="AQ16" s="1712"/>
      <c r="AR16" s="1712"/>
      <c r="AS16" s="1712"/>
      <c r="AT16" s="1713"/>
      <c r="AU16" s="1693"/>
      <c r="AV16" s="1693"/>
      <c r="AW16" s="1712"/>
      <c r="AX16" s="1687"/>
      <c r="AY16" s="1696"/>
      <c r="AZ16" s="1696"/>
      <c r="BA16" s="1701"/>
      <c r="BB16" s="1618"/>
      <c r="BC16" s="1635"/>
      <c r="BD16" s="1714"/>
      <c r="BE16" s="1714"/>
      <c r="BF16" s="1714"/>
      <c r="BG16" s="1714"/>
      <c r="BH16" s="1714"/>
      <c r="BI16" s="1714"/>
      <c r="BJ16" s="1714"/>
      <c r="BK16" s="1714"/>
      <c r="BL16" s="1702"/>
      <c r="BM16" s="1702"/>
      <c r="BN16" s="1715"/>
      <c r="BO16" s="1715"/>
      <c r="BP16" s="1715"/>
      <c r="BQ16" s="1603"/>
      <c r="BS16" s="1560"/>
      <c r="BT16" s="1560"/>
      <c r="BU16" s="1560"/>
      <c r="BV16" s="1560"/>
    </row>
    <row r="17" spans="1:74" ht="12.75" customHeight="1" x14ac:dyDescent="0.2">
      <c r="A17" s="1611"/>
      <c r="B17" s="1608" t="s">
        <v>304</v>
      </c>
      <c r="C17" s="1615">
        <v>8774</v>
      </c>
      <c r="D17" s="1618">
        <v>0.70769478948217457</v>
      </c>
      <c r="E17" s="1574"/>
      <c r="F17" s="1579"/>
      <c r="G17" s="1579"/>
      <c r="H17" s="1577"/>
      <c r="I17" s="2323">
        <v>21172</v>
      </c>
      <c r="J17" s="1709">
        <v>19943</v>
      </c>
      <c r="K17" s="1709">
        <v>14256</v>
      </c>
      <c r="L17" s="1696">
        <v>8530</v>
      </c>
      <c r="M17" s="1693">
        <v>12398</v>
      </c>
      <c r="N17" s="1709">
        <v>19889</v>
      </c>
      <c r="O17" s="1709">
        <v>9898</v>
      </c>
      <c r="P17" s="1696">
        <v>29488</v>
      </c>
      <c r="Q17" s="1693">
        <v>25438</v>
      </c>
      <c r="R17" s="1709">
        <v>17633</v>
      </c>
      <c r="S17" s="1709">
        <v>16110</v>
      </c>
      <c r="T17" s="1696">
        <v>10947</v>
      </c>
      <c r="U17" s="1693">
        <v>9008</v>
      </c>
      <c r="V17" s="1696">
        <v>24687</v>
      </c>
      <c r="W17" s="1696">
        <v>32365</v>
      </c>
      <c r="X17" s="1696">
        <v>13998</v>
      </c>
      <c r="Y17" s="1693">
        <v>13566</v>
      </c>
      <c r="Z17" s="1696">
        <v>30200</v>
      </c>
      <c r="AA17" s="1696">
        <v>23452</v>
      </c>
      <c r="AB17" s="1696">
        <v>16998</v>
      </c>
      <c r="AC17" s="1693">
        <v>29195</v>
      </c>
      <c r="AD17" s="1696">
        <v>43043</v>
      </c>
      <c r="AE17" s="1696">
        <v>47584</v>
      </c>
      <c r="AF17" s="1696">
        <v>20732</v>
      </c>
      <c r="AG17" s="1693"/>
      <c r="AH17" s="1696"/>
      <c r="AI17" s="1696"/>
      <c r="AJ17" s="1696"/>
      <c r="AK17" s="1693"/>
      <c r="AL17" s="1696"/>
      <c r="AM17" s="1696"/>
      <c r="AN17" s="1696"/>
      <c r="AO17" s="1693"/>
      <c r="AP17" s="1712"/>
      <c r="AQ17" s="1712"/>
      <c r="AR17" s="1712"/>
      <c r="AS17" s="1712"/>
      <c r="AT17" s="1713"/>
      <c r="AU17" s="1693"/>
      <c r="AV17" s="1693"/>
      <c r="AW17" s="1712"/>
      <c r="AX17" s="1687"/>
      <c r="AY17" s="1696">
        <v>55127</v>
      </c>
      <c r="AZ17" s="1712">
        <v>84713</v>
      </c>
      <c r="BA17" s="1701">
        <v>-29586</v>
      </c>
      <c r="BB17" s="1618">
        <v>-0.34924981998040444</v>
      </c>
      <c r="BC17" s="1635"/>
      <c r="BD17" s="1702">
        <v>55127</v>
      </c>
      <c r="BE17" s="1716">
        <v>84713</v>
      </c>
      <c r="BF17" s="1716">
        <v>53698</v>
      </c>
      <c r="BG17" s="1716">
        <v>84615</v>
      </c>
      <c r="BH17" s="1716">
        <v>99845</v>
      </c>
      <c r="BI17" s="1701">
        <v>147080</v>
      </c>
      <c r="BJ17" s="1717">
        <v>86644</v>
      </c>
      <c r="BK17" s="1717">
        <v>63086</v>
      </c>
      <c r="BL17" s="1717">
        <v>88234</v>
      </c>
      <c r="BM17" s="1718"/>
      <c r="BN17" s="1715"/>
      <c r="BO17" s="1715"/>
      <c r="BP17" s="1715"/>
      <c r="BQ17" s="1666"/>
      <c r="BS17" s="1560"/>
      <c r="BT17" s="1560"/>
      <c r="BU17" s="1560"/>
      <c r="BV17" s="1560"/>
    </row>
    <row r="18" spans="1:74" ht="12.75" customHeight="1" x14ac:dyDescent="0.2">
      <c r="A18" s="1611"/>
      <c r="B18" s="969" t="s">
        <v>305</v>
      </c>
      <c r="C18" s="1619">
        <v>-322</v>
      </c>
      <c r="D18" s="1620">
        <v>-0.109375</v>
      </c>
      <c r="E18" s="1574"/>
      <c r="F18" s="1580"/>
      <c r="G18" s="1580"/>
      <c r="H18" s="2326"/>
      <c r="I18" s="2389">
        <v>2622</v>
      </c>
      <c r="J18" s="1721">
        <v>4425</v>
      </c>
      <c r="K18" s="1721">
        <v>2850</v>
      </c>
      <c r="L18" s="1719">
        <v>2970</v>
      </c>
      <c r="M18" s="1720">
        <v>2944</v>
      </c>
      <c r="N18" s="1721">
        <v>4497</v>
      </c>
      <c r="O18" s="1721">
        <v>3700</v>
      </c>
      <c r="P18" s="1719">
        <v>3230</v>
      </c>
      <c r="Q18" s="1720">
        <v>3226</v>
      </c>
      <c r="R18" s="1721">
        <v>4247</v>
      </c>
      <c r="S18" s="1721">
        <v>4019</v>
      </c>
      <c r="T18" s="1719">
        <v>4969</v>
      </c>
      <c r="U18" s="1720">
        <v>5109</v>
      </c>
      <c r="V18" s="1719">
        <v>3758</v>
      </c>
      <c r="W18" s="1719">
        <v>3721</v>
      </c>
      <c r="X18" s="1719">
        <v>5475</v>
      </c>
      <c r="Y18" s="1720">
        <v>3512</v>
      </c>
      <c r="Z18" s="1719">
        <v>6279</v>
      </c>
      <c r="AA18" s="1719">
        <v>3254</v>
      </c>
      <c r="AB18" s="1719">
        <v>3168</v>
      </c>
      <c r="AC18" s="1720">
        <v>-3366</v>
      </c>
      <c r="AD18" s="1719">
        <v>-3740</v>
      </c>
      <c r="AE18" s="1719">
        <v>598</v>
      </c>
      <c r="AF18" s="1719">
        <v>1780</v>
      </c>
      <c r="AG18" s="1693"/>
      <c r="AH18" s="1696"/>
      <c r="AI18" s="1696"/>
      <c r="AJ18" s="1696"/>
      <c r="AK18" s="1693"/>
      <c r="AL18" s="1696"/>
      <c r="AM18" s="1696"/>
      <c r="AN18" s="1696"/>
      <c r="AO18" s="1693"/>
      <c r="AP18" s="1712"/>
      <c r="AQ18" s="1712"/>
      <c r="AR18" s="1712"/>
      <c r="AS18" s="1712"/>
      <c r="AT18" s="1713"/>
      <c r="AU18" s="1693"/>
      <c r="AV18" s="1693"/>
      <c r="AW18" s="1712"/>
      <c r="AX18" s="1687"/>
      <c r="AY18" s="1719">
        <v>13189</v>
      </c>
      <c r="AZ18" s="1692">
        <v>14653</v>
      </c>
      <c r="BA18" s="1722">
        <v>-1464</v>
      </c>
      <c r="BB18" s="1620">
        <v>-9.9911280966355015E-2</v>
      </c>
      <c r="BC18" s="1635"/>
      <c r="BD18" s="1761">
        <v>13189</v>
      </c>
      <c r="BE18" s="1723">
        <v>14653</v>
      </c>
      <c r="BF18" s="1723">
        <v>18344</v>
      </c>
      <c r="BG18" s="1723">
        <v>16465</v>
      </c>
      <c r="BH18" s="1723">
        <v>9335</v>
      </c>
      <c r="BI18" s="1722">
        <v>-1125</v>
      </c>
      <c r="BJ18" s="1724">
        <v>6489</v>
      </c>
      <c r="BK18" s="1724">
        <v>3937</v>
      </c>
      <c r="BL18" s="1724">
        <v>-253</v>
      </c>
      <c r="BM18" s="1718"/>
      <c r="BN18" s="1715"/>
      <c r="BO18" s="1715"/>
      <c r="BP18" s="1715"/>
      <c r="BQ18" s="1666"/>
      <c r="BS18" s="1560"/>
      <c r="BT18" s="1560"/>
      <c r="BU18" s="1560"/>
      <c r="BV18" s="1560"/>
    </row>
    <row r="19" spans="1:74" ht="12.75" customHeight="1" x14ac:dyDescent="0.2">
      <c r="A19" s="1612"/>
      <c r="B19" s="1228" t="s">
        <v>209</v>
      </c>
      <c r="C19" s="1615">
        <v>8452</v>
      </c>
      <c r="D19" s="1618">
        <v>0.55090600964672143</v>
      </c>
      <c r="E19" s="1574"/>
      <c r="F19" s="1577">
        <v>0</v>
      </c>
      <c r="G19" s="1577">
        <v>0</v>
      </c>
      <c r="H19" s="1577">
        <v>0</v>
      </c>
      <c r="I19" s="2323">
        <v>23794</v>
      </c>
      <c r="J19" s="1696">
        <v>24368</v>
      </c>
      <c r="K19" s="1696">
        <v>17106</v>
      </c>
      <c r="L19" s="1696">
        <v>11500</v>
      </c>
      <c r="M19" s="1693">
        <v>15342</v>
      </c>
      <c r="N19" s="1709">
        <v>24386</v>
      </c>
      <c r="O19" s="1709">
        <v>13598</v>
      </c>
      <c r="P19" s="1696">
        <v>32718</v>
      </c>
      <c r="Q19" s="1693">
        <v>28664</v>
      </c>
      <c r="R19" s="1709">
        <v>21880</v>
      </c>
      <c r="S19" s="1709">
        <v>20129</v>
      </c>
      <c r="T19" s="1696">
        <v>15916</v>
      </c>
      <c r="U19" s="1693">
        <v>14117</v>
      </c>
      <c r="V19" s="1696">
        <v>28445</v>
      </c>
      <c r="W19" s="1696">
        <v>36086</v>
      </c>
      <c r="X19" s="1696">
        <v>19473</v>
      </c>
      <c r="Y19" s="1693">
        <v>17078</v>
      </c>
      <c r="Z19" s="1696">
        <v>36479</v>
      </c>
      <c r="AA19" s="1696">
        <v>26706</v>
      </c>
      <c r="AB19" s="1696">
        <v>20166</v>
      </c>
      <c r="AC19" s="1693">
        <v>25829</v>
      </c>
      <c r="AD19" s="1696">
        <v>39303</v>
      </c>
      <c r="AE19" s="1696">
        <v>48182</v>
      </c>
      <c r="AF19" s="1696">
        <v>22512</v>
      </c>
      <c r="AG19" s="1693">
        <v>22508</v>
      </c>
      <c r="AH19" s="1696">
        <v>16925</v>
      </c>
      <c r="AI19" s="1696">
        <v>30817</v>
      </c>
      <c r="AJ19" s="1696">
        <v>14959</v>
      </c>
      <c r="AK19" s="1693">
        <v>17215</v>
      </c>
      <c r="AL19" s="1696">
        <v>12371</v>
      </c>
      <c r="AM19" s="1696">
        <v>10291</v>
      </c>
      <c r="AN19" s="1696">
        <v>13228</v>
      </c>
      <c r="AO19" s="1693">
        <v>19085</v>
      </c>
      <c r="AP19" s="1712">
        <v>16510</v>
      </c>
      <c r="AQ19" s="1712">
        <v>57933</v>
      </c>
      <c r="AR19" s="1712">
        <v>42205</v>
      </c>
      <c r="AS19" s="1712">
        <v>76203</v>
      </c>
      <c r="AT19" s="1713">
        <v>70783</v>
      </c>
      <c r="AU19" s="1693">
        <v>51546</v>
      </c>
      <c r="AV19" s="1693">
        <v>45305</v>
      </c>
      <c r="AW19" s="1712">
        <v>65948</v>
      </c>
      <c r="AX19" s="1687"/>
      <c r="AY19" s="1696">
        <v>68316</v>
      </c>
      <c r="AZ19" s="1712">
        <v>99366</v>
      </c>
      <c r="BA19" s="1701">
        <v>-31050</v>
      </c>
      <c r="BB19" s="1618">
        <v>-0.31248113036652375</v>
      </c>
      <c r="BC19" s="1635"/>
      <c r="BD19" s="2245">
        <v>68316</v>
      </c>
      <c r="BE19" s="1702">
        <v>99366</v>
      </c>
      <c r="BF19" s="1702">
        <v>72042</v>
      </c>
      <c r="BG19" s="1702">
        <v>101080</v>
      </c>
      <c r="BH19" s="1702">
        <v>109180</v>
      </c>
      <c r="BI19" s="1702">
        <v>145955</v>
      </c>
      <c r="BJ19" s="1702">
        <v>93133</v>
      </c>
      <c r="BK19" s="1702">
        <v>67023</v>
      </c>
      <c r="BL19" s="1702">
        <v>87981</v>
      </c>
      <c r="BM19" s="1702">
        <v>98642</v>
      </c>
      <c r="BN19" s="1715">
        <v>82259</v>
      </c>
      <c r="BO19" s="1715">
        <v>47759</v>
      </c>
      <c r="BP19" s="1715">
        <v>120298</v>
      </c>
      <c r="BQ19" s="1666"/>
      <c r="BS19" s="1560"/>
      <c r="BT19" s="1560"/>
      <c r="BU19" s="1560"/>
      <c r="BV19" s="1560"/>
    </row>
    <row r="20" spans="1:74" ht="12.75" customHeight="1" x14ac:dyDescent="0.2">
      <c r="A20" s="1612"/>
      <c r="B20" s="1614" t="s">
        <v>66</v>
      </c>
      <c r="C20" s="1615">
        <v>92</v>
      </c>
      <c r="D20" s="1618">
        <v>7.4373484236054971E-2</v>
      </c>
      <c r="E20" s="1574"/>
      <c r="F20" s="1579"/>
      <c r="G20" s="1579"/>
      <c r="H20" s="1577"/>
      <c r="I20" s="2323">
        <v>1329</v>
      </c>
      <c r="J20" s="1709">
        <v>1874</v>
      </c>
      <c r="K20" s="1709">
        <v>1563</v>
      </c>
      <c r="L20" s="1696">
        <v>1308</v>
      </c>
      <c r="M20" s="1693">
        <v>1237</v>
      </c>
      <c r="N20" s="1709">
        <v>1267</v>
      </c>
      <c r="O20" s="1709">
        <v>1086</v>
      </c>
      <c r="P20" s="1696">
        <v>1093</v>
      </c>
      <c r="Q20" s="1693">
        <v>1780</v>
      </c>
      <c r="R20" s="1709">
        <v>1061</v>
      </c>
      <c r="S20" s="1709">
        <v>1398</v>
      </c>
      <c r="T20" s="1696">
        <v>1040</v>
      </c>
      <c r="U20" s="1693">
        <v>1320</v>
      </c>
      <c r="V20" s="1696">
        <v>1372</v>
      </c>
      <c r="W20" s="1696">
        <v>1492</v>
      </c>
      <c r="X20" s="1696">
        <v>2221</v>
      </c>
      <c r="Y20" s="1693">
        <v>1737</v>
      </c>
      <c r="Z20" s="1696">
        <v>1421</v>
      </c>
      <c r="AA20" s="1696">
        <v>1310</v>
      </c>
      <c r="AB20" s="1696">
        <v>867</v>
      </c>
      <c r="AC20" s="1693">
        <v>1866</v>
      </c>
      <c r="AD20" s="1696">
        <v>733</v>
      </c>
      <c r="AE20" s="1696">
        <v>930</v>
      </c>
      <c r="AF20" s="1696">
        <v>1056</v>
      </c>
      <c r="AG20" s="1693">
        <v>1141</v>
      </c>
      <c r="AH20" s="1696">
        <v>736</v>
      </c>
      <c r="AI20" s="1696">
        <v>1106</v>
      </c>
      <c r="AJ20" s="1696">
        <v>445</v>
      </c>
      <c r="AK20" s="1693">
        <v>469</v>
      </c>
      <c r="AL20" s="1696">
        <v>514</v>
      </c>
      <c r="AM20" s="1696">
        <v>535</v>
      </c>
      <c r="AN20" s="1696">
        <v>708</v>
      </c>
      <c r="AO20" s="1693">
        <v>937</v>
      </c>
      <c r="AP20" s="1712">
        <v>571</v>
      </c>
      <c r="AQ20" s="1712">
        <v>3275</v>
      </c>
      <c r="AR20" s="1712">
        <v>3194</v>
      </c>
      <c r="AS20" s="1712">
        <v>4019</v>
      </c>
      <c r="AT20" s="1713">
        <v>2619</v>
      </c>
      <c r="AU20" s="1693">
        <v>3158</v>
      </c>
      <c r="AV20" s="1693">
        <v>2228</v>
      </c>
      <c r="AW20" s="1712">
        <v>3188</v>
      </c>
      <c r="AX20" s="1725"/>
      <c r="AY20" s="1696">
        <v>5982</v>
      </c>
      <c r="AZ20" s="1696">
        <v>5226</v>
      </c>
      <c r="BA20" s="1726">
        <v>756</v>
      </c>
      <c r="BB20" s="1618">
        <v>0.14466130884041331</v>
      </c>
      <c r="BC20" s="1698"/>
      <c r="BD20" s="1702">
        <v>5982</v>
      </c>
      <c r="BE20" s="1493">
        <v>5226</v>
      </c>
      <c r="BF20" s="1493">
        <v>4819</v>
      </c>
      <c r="BG20" s="1493">
        <v>6822</v>
      </c>
      <c r="BH20" s="1493">
        <v>5464</v>
      </c>
      <c r="BI20" s="1493">
        <v>5760</v>
      </c>
      <c r="BJ20" s="1493">
        <v>4482</v>
      </c>
      <c r="BK20" s="1727">
        <v>4289</v>
      </c>
      <c r="BL20" s="1702">
        <v>3159</v>
      </c>
      <c r="BM20" s="1702">
        <v>1847</v>
      </c>
      <c r="BN20" s="1715">
        <v>2414</v>
      </c>
      <c r="BO20" s="1715">
        <v>6699</v>
      </c>
      <c r="BP20" s="1715">
        <v>12517</v>
      </c>
      <c r="BQ20" s="1603"/>
      <c r="BS20" s="1560"/>
      <c r="BT20" s="1560"/>
      <c r="BU20" s="1560"/>
      <c r="BV20" s="1560"/>
    </row>
    <row r="21" spans="1:74" ht="12.75" customHeight="1" x14ac:dyDescent="0.2">
      <c r="A21" s="1612"/>
      <c r="B21" s="1614" t="s">
        <v>92</v>
      </c>
      <c r="C21" s="1615">
        <v>-8</v>
      </c>
      <c r="D21" s="1621">
        <v>-2.9917726252804786E-3</v>
      </c>
      <c r="E21" s="1574"/>
      <c r="F21" s="1579"/>
      <c r="G21" s="1579"/>
      <c r="H21" s="1577"/>
      <c r="I21" s="2323">
        <v>2666</v>
      </c>
      <c r="J21" s="1709">
        <v>2291</v>
      </c>
      <c r="K21" s="1709">
        <v>2425</v>
      </c>
      <c r="L21" s="1696">
        <v>2572</v>
      </c>
      <c r="M21" s="1693">
        <v>2674</v>
      </c>
      <c r="N21" s="1709">
        <v>3773</v>
      </c>
      <c r="O21" s="1709">
        <v>3824</v>
      </c>
      <c r="P21" s="1696">
        <v>3787</v>
      </c>
      <c r="Q21" s="1693">
        <v>3756</v>
      </c>
      <c r="R21" s="1709">
        <v>3482</v>
      </c>
      <c r="S21" s="1709">
        <v>3496</v>
      </c>
      <c r="T21" s="1696">
        <v>2839</v>
      </c>
      <c r="U21" s="1693">
        <v>3201</v>
      </c>
      <c r="V21" s="1696">
        <v>2802</v>
      </c>
      <c r="W21" s="1696">
        <v>2737</v>
      </c>
      <c r="X21" s="1696">
        <v>2309</v>
      </c>
      <c r="Y21" s="1693">
        <v>2984</v>
      </c>
      <c r="Z21" s="1696">
        <v>2748</v>
      </c>
      <c r="AA21" s="1696">
        <v>3263</v>
      </c>
      <c r="AB21" s="1696">
        <v>3155</v>
      </c>
      <c r="AC21" s="1693">
        <v>4193</v>
      </c>
      <c r="AD21" s="1696">
        <v>2526</v>
      </c>
      <c r="AE21" s="1696">
        <v>2575</v>
      </c>
      <c r="AF21" s="1696">
        <v>2211</v>
      </c>
      <c r="AG21" s="1693">
        <v>1863</v>
      </c>
      <c r="AH21" s="1696">
        <v>1434</v>
      </c>
      <c r="AI21" s="1696">
        <v>1589</v>
      </c>
      <c r="AJ21" s="1696">
        <v>1151</v>
      </c>
      <c r="AK21" s="1693">
        <v>943</v>
      </c>
      <c r="AL21" s="1696">
        <v>993</v>
      </c>
      <c r="AM21" s="1696">
        <v>971</v>
      </c>
      <c r="AN21" s="1696">
        <v>891</v>
      </c>
      <c r="AO21" s="1693">
        <v>781</v>
      </c>
      <c r="AP21" s="1712">
        <v>689</v>
      </c>
      <c r="AQ21" s="1712">
        <v>4655</v>
      </c>
      <c r="AR21" s="1712">
        <v>4906</v>
      </c>
      <c r="AS21" s="1712">
        <v>4441</v>
      </c>
      <c r="AT21" s="1713">
        <v>4178</v>
      </c>
      <c r="AU21" s="1693">
        <v>3700</v>
      </c>
      <c r="AV21" s="1693">
        <v>3796</v>
      </c>
      <c r="AW21" s="1712">
        <v>5308</v>
      </c>
      <c r="AX21" s="1725"/>
      <c r="AY21" s="1696">
        <v>9962</v>
      </c>
      <c r="AZ21" s="1696">
        <v>15140</v>
      </c>
      <c r="BA21" s="1726">
        <v>-5178</v>
      </c>
      <c r="BB21" s="1618">
        <v>-0.34200792602377805</v>
      </c>
      <c r="BC21" s="1698"/>
      <c r="BD21" s="1702">
        <v>9962</v>
      </c>
      <c r="BE21" s="1493">
        <v>15140</v>
      </c>
      <c r="BF21" s="1493">
        <v>13018</v>
      </c>
      <c r="BG21" s="1493">
        <v>10832</v>
      </c>
      <c r="BH21" s="1493">
        <v>13359</v>
      </c>
      <c r="BI21" s="1493">
        <v>13928</v>
      </c>
      <c r="BJ21" s="1493">
        <v>9367</v>
      </c>
      <c r="BK21" s="1727">
        <v>7303</v>
      </c>
      <c r="BL21" s="1702">
        <v>3032</v>
      </c>
      <c r="BM21" s="1702">
        <v>2191</v>
      </c>
      <c r="BN21" s="1715">
        <v>2896</v>
      </c>
      <c r="BO21" s="1715">
        <v>1887</v>
      </c>
      <c r="BP21" s="1715">
        <v>3440</v>
      </c>
      <c r="BQ21" s="1603"/>
      <c r="BS21" s="1560"/>
      <c r="BT21" s="1560"/>
      <c r="BU21" s="1560"/>
      <c r="BV21" s="1560"/>
    </row>
    <row r="22" spans="1:74" ht="12.75" customHeight="1" x14ac:dyDescent="0.2">
      <c r="A22" s="1612"/>
      <c r="B22" s="1614" t="s">
        <v>68</v>
      </c>
      <c r="C22" s="1615">
        <v>41</v>
      </c>
      <c r="D22" s="1621">
        <v>3.9084842707340327E-2</v>
      </c>
      <c r="E22" s="1574"/>
      <c r="F22" s="1579"/>
      <c r="G22" s="1579"/>
      <c r="H22" s="1577"/>
      <c r="I22" s="2323">
        <v>1090</v>
      </c>
      <c r="J22" s="1709">
        <v>1126</v>
      </c>
      <c r="K22" s="1709">
        <v>1178</v>
      </c>
      <c r="L22" s="1696">
        <v>1112</v>
      </c>
      <c r="M22" s="1693">
        <v>1049</v>
      </c>
      <c r="N22" s="1709">
        <v>1111</v>
      </c>
      <c r="O22" s="1709">
        <v>1164</v>
      </c>
      <c r="P22" s="1696">
        <v>1168</v>
      </c>
      <c r="Q22" s="1693">
        <v>1087</v>
      </c>
      <c r="R22" s="1709">
        <v>1119</v>
      </c>
      <c r="S22" s="1709">
        <v>1119</v>
      </c>
      <c r="T22" s="1696">
        <v>1108</v>
      </c>
      <c r="U22" s="1693">
        <v>1078</v>
      </c>
      <c r="V22" s="1696">
        <v>1221</v>
      </c>
      <c r="W22" s="1696">
        <v>1117</v>
      </c>
      <c r="X22" s="1696">
        <v>1196</v>
      </c>
      <c r="Y22" s="1693">
        <v>1263</v>
      </c>
      <c r="Z22" s="1696">
        <v>1300</v>
      </c>
      <c r="AA22" s="1696">
        <v>1228</v>
      </c>
      <c r="AB22" s="1696">
        <v>1661</v>
      </c>
      <c r="AC22" s="1693">
        <v>852</v>
      </c>
      <c r="AD22" s="1696">
        <v>1191</v>
      </c>
      <c r="AE22" s="1696">
        <v>1338</v>
      </c>
      <c r="AF22" s="1696">
        <v>855</v>
      </c>
      <c r="AG22" s="1693">
        <v>549</v>
      </c>
      <c r="AH22" s="1696">
        <v>661</v>
      </c>
      <c r="AI22" s="1696">
        <v>671</v>
      </c>
      <c r="AJ22" s="1696">
        <v>645</v>
      </c>
      <c r="AK22" s="1693">
        <v>595</v>
      </c>
      <c r="AL22" s="1696">
        <v>667</v>
      </c>
      <c r="AM22" s="1696">
        <v>676</v>
      </c>
      <c r="AN22" s="1696">
        <v>693</v>
      </c>
      <c r="AO22" s="1693">
        <v>690</v>
      </c>
      <c r="AP22" s="1712">
        <v>706</v>
      </c>
      <c r="AQ22" s="1712">
        <v>3011</v>
      </c>
      <c r="AR22" s="1712">
        <v>2910</v>
      </c>
      <c r="AS22" s="1712">
        <v>2613</v>
      </c>
      <c r="AT22" s="1713">
        <v>5054</v>
      </c>
      <c r="AU22" s="1693">
        <v>3183</v>
      </c>
      <c r="AV22" s="1693">
        <v>2884</v>
      </c>
      <c r="AW22" s="1712">
        <v>3008</v>
      </c>
      <c r="AX22" s="1725"/>
      <c r="AY22" s="1696">
        <v>4465</v>
      </c>
      <c r="AZ22" s="1696">
        <v>4530</v>
      </c>
      <c r="BA22" s="1726">
        <v>-65</v>
      </c>
      <c r="BB22" s="1618">
        <v>-1.434878587196468E-2</v>
      </c>
      <c r="BC22" s="1698"/>
      <c r="BD22" s="1702">
        <v>4465</v>
      </c>
      <c r="BE22" s="1493">
        <v>4530</v>
      </c>
      <c r="BF22" s="1493">
        <v>4424</v>
      </c>
      <c r="BG22" s="1493">
        <v>4797</v>
      </c>
      <c r="BH22" s="1493">
        <v>5041</v>
      </c>
      <c r="BI22" s="1493">
        <v>4319</v>
      </c>
      <c r="BJ22" s="1493">
        <v>3014</v>
      </c>
      <c r="BK22" s="1727">
        <v>3158</v>
      </c>
      <c r="BL22" s="1702">
        <v>2856</v>
      </c>
      <c r="BM22" s="1702">
        <v>3000</v>
      </c>
      <c r="BN22" s="1715">
        <v>2293</v>
      </c>
      <c r="BO22" s="1715">
        <v>1365</v>
      </c>
      <c r="BP22" s="1715">
        <v>4236</v>
      </c>
      <c r="BQ22" s="1603"/>
      <c r="BS22" s="1560"/>
      <c r="BT22" s="1560"/>
      <c r="BU22" s="1560"/>
      <c r="BV22" s="1560"/>
    </row>
    <row r="23" spans="1:74" ht="12.75" customHeight="1" x14ac:dyDescent="0.2">
      <c r="A23" s="1612"/>
      <c r="B23" s="1614" t="s">
        <v>69</v>
      </c>
      <c r="C23" s="1615">
        <v>-130</v>
      </c>
      <c r="D23" s="1621">
        <v>-8.5245901639344257E-2</v>
      </c>
      <c r="E23" s="1574"/>
      <c r="F23" s="1579"/>
      <c r="G23" s="1579"/>
      <c r="H23" s="1577"/>
      <c r="I23" s="2323">
        <v>1395</v>
      </c>
      <c r="J23" s="1709">
        <v>1734</v>
      </c>
      <c r="K23" s="1709">
        <v>1592</v>
      </c>
      <c r="L23" s="1696">
        <v>1606</v>
      </c>
      <c r="M23" s="1693">
        <v>1525</v>
      </c>
      <c r="N23" s="1709">
        <v>1836</v>
      </c>
      <c r="O23" s="1709">
        <v>1581</v>
      </c>
      <c r="P23" s="1696">
        <v>1758</v>
      </c>
      <c r="Q23" s="1693">
        <v>1254</v>
      </c>
      <c r="R23" s="1709">
        <v>1483</v>
      </c>
      <c r="S23" s="1709">
        <v>1709</v>
      </c>
      <c r="T23" s="1696">
        <v>1632</v>
      </c>
      <c r="U23" s="1693">
        <v>1422</v>
      </c>
      <c r="V23" s="1696">
        <v>1553</v>
      </c>
      <c r="W23" s="1696">
        <v>1583</v>
      </c>
      <c r="X23" s="1696">
        <v>1305</v>
      </c>
      <c r="Y23" s="1693">
        <v>1477</v>
      </c>
      <c r="Z23" s="1696">
        <v>2254</v>
      </c>
      <c r="AA23" s="1696">
        <v>1309</v>
      </c>
      <c r="AB23" s="1696">
        <v>1341</v>
      </c>
      <c r="AC23" s="1693">
        <v>1329</v>
      </c>
      <c r="AD23" s="1696">
        <v>977</v>
      </c>
      <c r="AE23" s="1696">
        <v>993</v>
      </c>
      <c r="AF23" s="1696">
        <v>1107</v>
      </c>
      <c r="AG23" s="1693">
        <v>1004</v>
      </c>
      <c r="AH23" s="1696">
        <v>587</v>
      </c>
      <c r="AI23" s="1696">
        <v>610</v>
      </c>
      <c r="AJ23" s="1696">
        <v>573</v>
      </c>
      <c r="AK23" s="1693">
        <v>706</v>
      </c>
      <c r="AL23" s="1696">
        <v>894</v>
      </c>
      <c r="AM23" s="1696">
        <v>1012</v>
      </c>
      <c r="AN23" s="1696">
        <v>1350</v>
      </c>
      <c r="AO23" s="1693">
        <v>1224</v>
      </c>
      <c r="AP23" s="1712">
        <v>1201</v>
      </c>
      <c r="AQ23" s="1712">
        <v>3063</v>
      </c>
      <c r="AR23" s="1712">
        <v>2962</v>
      </c>
      <c r="AS23" s="1712">
        <v>2879</v>
      </c>
      <c r="AT23" s="1713">
        <v>2804</v>
      </c>
      <c r="AU23" s="1693">
        <v>2586</v>
      </c>
      <c r="AV23" s="1693">
        <v>2530</v>
      </c>
      <c r="AW23" s="1712">
        <v>2427</v>
      </c>
      <c r="AX23" s="1725"/>
      <c r="AY23" s="1696">
        <v>6457</v>
      </c>
      <c r="AZ23" s="1696">
        <v>6429</v>
      </c>
      <c r="BA23" s="1726">
        <v>28</v>
      </c>
      <c r="BB23" s="1618">
        <v>4.3552652045419195E-3</v>
      </c>
      <c r="BC23" s="1698"/>
      <c r="BD23" s="1702">
        <v>6457</v>
      </c>
      <c r="BE23" s="1493">
        <v>6429</v>
      </c>
      <c r="BF23" s="1493">
        <v>6246</v>
      </c>
      <c r="BG23" s="1493">
        <v>5918</v>
      </c>
      <c r="BH23" s="1493">
        <v>6233</v>
      </c>
      <c r="BI23" s="1493">
        <v>5344</v>
      </c>
      <c r="BJ23" s="1493">
        <v>3731</v>
      </c>
      <c r="BK23" s="1727">
        <v>6466</v>
      </c>
      <c r="BL23" s="1702">
        <v>4740</v>
      </c>
      <c r="BM23" s="1702">
        <v>3930</v>
      </c>
      <c r="BN23" s="1715">
        <v>2980</v>
      </c>
      <c r="BO23" s="1715">
        <v>2274</v>
      </c>
      <c r="BP23" s="1715">
        <v>4205</v>
      </c>
      <c r="BQ23" s="1603"/>
      <c r="BS23" s="1560"/>
      <c r="BT23" s="1560"/>
      <c r="BU23" s="1560"/>
      <c r="BV23" s="1560"/>
    </row>
    <row r="24" spans="1:74" ht="12.75" customHeight="1" x14ac:dyDescent="0.2">
      <c r="A24" s="1612"/>
      <c r="B24" s="1614" t="s">
        <v>64</v>
      </c>
      <c r="C24" s="1615">
        <v>-548</v>
      </c>
      <c r="D24" s="1618">
        <v>-0.45401822700911348</v>
      </c>
      <c r="E24" s="1574"/>
      <c r="F24" s="1579"/>
      <c r="G24" s="1579"/>
      <c r="H24" s="1577"/>
      <c r="I24" s="2323">
        <v>659</v>
      </c>
      <c r="J24" s="1709">
        <v>508</v>
      </c>
      <c r="K24" s="1709">
        <v>652</v>
      </c>
      <c r="L24" s="1696">
        <v>694</v>
      </c>
      <c r="M24" s="1693">
        <v>1207</v>
      </c>
      <c r="N24" s="1709">
        <v>1305</v>
      </c>
      <c r="O24" s="1709">
        <v>1755</v>
      </c>
      <c r="P24" s="1696">
        <v>1303</v>
      </c>
      <c r="Q24" s="1693">
        <v>1453</v>
      </c>
      <c r="R24" s="1709">
        <v>1586</v>
      </c>
      <c r="S24" s="1709">
        <v>1678</v>
      </c>
      <c r="T24" s="1696">
        <v>2042</v>
      </c>
      <c r="U24" s="1693">
        <v>1957</v>
      </c>
      <c r="V24" s="1696">
        <v>1676</v>
      </c>
      <c r="W24" s="1696">
        <v>2282</v>
      </c>
      <c r="X24" s="1696">
        <v>1441</v>
      </c>
      <c r="Y24" s="1693">
        <v>2552</v>
      </c>
      <c r="Z24" s="1696">
        <v>2405</v>
      </c>
      <c r="AA24" s="1696">
        <v>1861</v>
      </c>
      <c r="AB24" s="1696">
        <v>1440</v>
      </c>
      <c r="AC24" s="1693">
        <v>1878</v>
      </c>
      <c r="AD24" s="1696">
        <v>8</v>
      </c>
      <c r="AE24" s="1696">
        <v>3</v>
      </c>
      <c r="AF24" s="1696">
        <v>3</v>
      </c>
      <c r="AG24" s="1693">
        <v>33</v>
      </c>
      <c r="AH24" s="1696">
        <v>3</v>
      </c>
      <c r="AI24" s="1696">
        <v>2</v>
      </c>
      <c r="AJ24" s="1696">
        <v>2</v>
      </c>
      <c r="AK24" s="1693">
        <v>5</v>
      </c>
      <c r="AL24" s="1696">
        <v>21</v>
      </c>
      <c r="AM24" s="1696">
        <v>72</v>
      </c>
      <c r="AN24" s="1696">
        <v>94</v>
      </c>
      <c r="AO24" s="1693">
        <v>126</v>
      </c>
      <c r="AP24" s="1712">
        <v>153</v>
      </c>
      <c r="AQ24" s="1712">
        <v>738</v>
      </c>
      <c r="AR24" s="1712">
        <v>353</v>
      </c>
      <c r="AS24" s="1712">
        <v>594</v>
      </c>
      <c r="AT24" s="1713">
        <v>617</v>
      </c>
      <c r="AU24" s="1693">
        <v>520</v>
      </c>
      <c r="AV24" s="1693">
        <v>889</v>
      </c>
      <c r="AW24" s="1712">
        <v>691</v>
      </c>
      <c r="AX24" s="1725"/>
      <c r="AY24" s="1696">
        <v>3061</v>
      </c>
      <c r="AZ24" s="1696">
        <v>5816</v>
      </c>
      <c r="BA24" s="1726">
        <v>-2755</v>
      </c>
      <c r="BB24" s="1618">
        <v>-0.47369325997248968</v>
      </c>
      <c r="BC24" s="1698"/>
      <c r="BD24" s="1702">
        <v>3061</v>
      </c>
      <c r="BE24" s="1493">
        <v>5816</v>
      </c>
      <c r="BF24" s="1493">
        <v>7263</v>
      </c>
      <c r="BG24" s="1493">
        <v>7951</v>
      </c>
      <c r="BH24" s="1493">
        <v>7584</v>
      </c>
      <c r="BI24" s="1493">
        <v>5684</v>
      </c>
      <c r="BJ24" s="1493">
        <v>435</v>
      </c>
      <c r="BK24" s="1727">
        <v>949</v>
      </c>
      <c r="BL24" s="1702">
        <v>602</v>
      </c>
      <c r="BM24" s="1702">
        <v>551</v>
      </c>
      <c r="BN24" s="1715">
        <v>175</v>
      </c>
      <c r="BO24" s="1715">
        <v>114</v>
      </c>
      <c r="BP24" s="1715">
        <v>35</v>
      </c>
      <c r="BQ24" s="1603"/>
      <c r="BS24" s="1560"/>
      <c r="BT24" s="1560"/>
      <c r="BU24" s="1560"/>
      <c r="BV24" s="1560"/>
    </row>
    <row r="25" spans="1:74" ht="12.75" customHeight="1" x14ac:dyDescent="0.2">
      <c r="A25" s="1612"/>
      <c r="B25" s="1614" t="s">
        <v>70</v>
      </c>
      <c r="C25" s="1615">
        <v>-267</v>
      </c>
      <c r="D25" s="1621">
        <v>-9.4379639448568392E-2</v>
      </c>
      <c r="E25" s="1574"/>
      <c r="F25" s="1579"/>
      <c r="G25" s="1579"/>
      <c r="H25" s="1577"/>
      <c r="I25" s="2323">
        <v>2562</v>
      </c>
      <c r="J25" s="1709">
        <v>1404</v>
      </c>
      <c r="K25" s="1709">
        <v>2685</v>
      </c>
      <c r="L25" s="1696">
        <v>2157</v>
      </c>
      <c r="M25" s="1693">
        <v>2829</v>
      </c>
      <c r="N25" s="1709">
        <v>1959</v>
      </c>
      <c r="O25" s="1709">
        <v>3435</v>
      </c>
      <c r="P25" s="1696">
        <v>2993</v>
      </c>
      <c r="Q25" s="1693">
        <v>3397</v>
      </c>
      <c r="R25" s="1709">
        <v>1440</v>
      </c>
      <c r="S25" s="1709">
        <v>2466</v>
      </c>
      <c r="T25" s="1696">
        <v>2827</v>
      </c>
      <c r="U25" s="1693">
        <v>1612</v>
      </c>
      <c r="V25" s="1696">
        <v>1696</v>
      </c>
      <c r="W25" s="1696">
        <v>2998</v>
      </c>
      <c r="X25" s="1696">
        <v>4496</v>
      </c>
      <c r="Y25" s="1693">
        <v>3008</v>
      </c>
      <c r="Z25" s="1696">
        <v>3819</v>
      </c>
      <c r="AA25" s="1696">
        <v>2995</v>
      </c>
      <c r="AB25" s="1696">
        <v>5330</v>
      </c>
      <c r="AC25" s="1693">
        <v>3753</v>
      </c>
      <c r="AD25" s="1696">
        <v>3862</v>
      </c>
      <c r="AE25" s="1696">
        <v>4390</v>
      </c>
      <c r="AF25" s="1696">
        <v>3806</v>
      </c>
      <c r="AG25" s="1693">
        <v>3275</v>
      </c>
      <c r="AH25" s="1696">
        <v>1553</v>
      </c>
      <c r="AI25" s="1696">
        <v>1777</v>
      </c>
      <c r="AJ25" s="1696">
        <v>1251</v>
      </c>
      <c r="AK25" s="1693">
        <v>1408</v>
      </c>
      <c r="AL25" s="1696">
        <v>-532</v>
      </c>
      <c r="AM25" s="1696">
        <v>1655</v>
      </c>
      <c r="AN25" s="1696">
        <v>2880</v>
      </c>
      <c r="AO25" s="1693">
        <v>4020</v>
      </c>
      <c r="AP25" s="1712">
        <v>3405</v>
      </c>
      <c r="AQ25" s="1712">
        <v>8753</v>
      </c>
      <c r="AR25" s="1712">
        <v>9885</v>
      </c>
      <c r="AS25" s="1712">
        <v>10397</v>
      </c>
      <c r="AT25" s="1713">
        <v>10292</v>
      </c>
      <c r="AU25" s="1693">
        <v>7376</v>
      </c>
      <c r="AV25" s="1693">
        <v>8470</v>
      </c>
      <c r="AW25" s="1712">
        <v>8715</v>
      </c>
      <c r="AX25" s="1725"/>
      <c r="AY25" s="1696">
        <v>9075</v>
      </c>
      <c r="AZ25" s="1696">
        <v>11784</v>
      </c>
      <c r="BA25" s="1726">
        <v>-2709</v>
      </c>
      <c r="BB25" s="1618">
        <v>-0.22988798370672098</v>
      </c>
      <c r="BC25" s="1698"/>
      <c r="BD25" s="1702">
        <v>9075</v>
      </c>
      <c r="BE25" s="1493">
        <v>11784</v>
      </c>
      <c r="BF25" s="1493">
        <v>8345</v>
      </c>
      <c r="BG25" s="1493">
        <v>12198</v>
      </c>
      <c r="BH25" s="1493">
        <v>15897</v>
      </c>
      <c r="BI25" s="1493">
        <v>15959</v>
      </c>
      <c r="BJ25" s="1493">
        <v>6369</v>
      </c>
      <c r="BK25" s="1727">
        <v>9497</v>
      </c>
      <c r="BL25" s="1702">
        <v>14790</v>
      </c>
      <c r="BM25" s="1702">
        <v>12437</v>
      </c>
      <c r="BN25" s="1715">
        <v>11037</v>
      </c>
      <c r="BO25" s="1715">
        <v>6277</v>
      </c>
      <c r="BP25" s="1715">
        <v>7632</v>
      </c>
      <c r="BQ25" s="1603"/>
      <c r="BS25" s="1560"/>
      <c r="BT25" s="1560"/>
      <c r="BU25" s="1560"/>
      <c r="BV25" s="1560"/>
    </row>
    <row r="26" spans="1:74" ht="12.75" customHeight="1" x14ac:dyDescent="0.2">
      <c r="A26" s="1612"/>
      <c r="B26" s="1614" t="s">
        <v>71</v>
      </c>
      <c r="C26" s="1615">
        <v>-98</v>
      </c>
      <c r="D26" s="1621">
        <v>-0.10560344827586207</v>
      </c>
      <c r="E26" s="1582"/>
      <c r="F26" s="1579"/>
      <c r="G26" s="933"/>
      <c r="H26" s="1577"/>
      <c r="I26" s="2323">
        <v>830</v>
      </c>
      <c r="J26" s="1709">
        <v>837</v>
      </c>
      <c r="K26" s="1028">
        <v>842</v>
      </c>
      <c r="L26" s="1696">
        <v>842</v>
      </c>
      <c r="M26" s="1693">
        <v>928</v>
      </c>
      <c r="N26" s="1709">
        <v>1298</v>
      </c>
      <c r="O26" s="1028">
        <v>1331</v>
      </c>
      <c r="P26" s="1696">
        <v>1345</v>
      </c>
      <c r="Q26" s="1693">
        <v>1341</v>
      </c>
      <c r="R26" s="1709">
        <v>1322</v>
      </c>
      <c r="S26" s="1028">
        <v>1345</v>
      </c>
      <c r="T26" s="1696">
        <v>1328</v>
      </c>
      <c r="U26" s="1693">
        <v>1322</v>
      </c>
      <c r="V26" s="1696">
        <v>1485</v>
      </c>
      <c r="W26" s="1696">
        <v>1403</v>
      </c>
      <c r="X26" s="1696">
        <v>1401</v>
      </c>
      <c r="Y26" s="1693">
        <v>1400</v>
      </c>
      <c r="Z26" s="1696">
        <v>1522</v>
      </c>
      <c r="AA26" s="1696">
        <v>1400</v>
      </c>
      <c r="AB26" s="1696">
        <v>1417</v>
      </c>
      <c r="AC26" s="1693">
        <v>1219</v>
      </c>
      <c r="AD26" s="1696">
        <v>1199</v>
      </c>
      <c r="AE26" s="1696">
        <v>1232</v>
      </c>
      <c r="AF26" s="1696">
        <v>2158</v>
      </c>
      <c r="AG26" s="1693">
        <v>1735</v>
      </c>
      <c r="AH26" s="1696">
        <v>186</v>
      </c>
      <c r="AI26" s="1696">
        <v>183</v>
      </c>
      <c r="AJ26" s="1696">
        <v>182</v>
      </c>
      <c r="AK26" s="1693">
        <v>189</v>
      </c>
      <c r="AL26" s="1696">
        <v>228</v>
      </c>
      <c r="AM26" s="1696">
        <v>732</v>
      </c>
      <c r="AN26" s="1696">
        <v>193</v>
      </c>
      <c r="AO26" s="1693">
        <v>191</v>
      </c>
      <c r="AP26" s="1712">
        <v>220</v>
      </c>
      <c r="AQ26" s="1712">
        <v>984</v>
      </c>
      <c r="AR26" s="1712">
        <v>985</v>
      </c>
      <c r="AS26" s="1712">
        <v>911</v>
      </c>
      <c r="AT26" s="1713">
        <v>895</v>
      </c>
      <c r="AU26" s="1693">
        <v>785</v>
      </c>
      <c r="AV26" s="1693">
        <v>1291</v>
      </c>
      <c r="AW26" s="1712">
        <v>950</v>
      </c>
      <c r="AX26" s="1725"/>
      <c r="AY26" s="1696">
        <v>3449</v>
      </c>
      <c r="AZ26" s="1696">
        <v>5315</v>
      </c>
      <c r="BA26" s="1726">
        <v>-1866</v>
      </c>
      <c r="BB26" s="1618">
        <v>-0.3510818438381938</v>
      </c>
      <c r="BC26" s="1698"/>
      <c r="BD26" s="1702">
        <v>3449</v>
      </c>
      <c r="BE26" s="1493">
        <v>5315</v>
      </c>
      <c r="BF26" s="1493">
        <v>5317</v>
      </c>
      <c r="BG26" s="1493">
        <v>5689</v>
      </c>
      <c r="BH26" s="1493">
        <v>5558</v>
      </c>
      <c r="BI26" s="1493">
        <v>6461</v>
      </c>
      <c r="BJ26" s="1493">
        <v>907</v>
      </c>
      <c r="BK26" s="1727">
        <v>1492</v>
      </c>
      <c r="BL26" s="1702">
        <v>804</v>
      </c>
      <c r="BM26" s="1702">
        <v>1063</v>
      </c>
      <c r="BN26" s="1715">
        <v>893</v>
      </c>
      <c r="BO26" s="1715">
        <v>470</v>
      </c>
      <c r="BP26" s="1715">
        <v>1291</v>
      </c>
      <c r="BQ26" s="1603"/>
      <c r="BS26" s="1560"/>
      <c r="BT26" s="1560"/>
      <c r="BU26" s="1560"/>
      <c r="BV26" s="1560"/>
    </row>
    <row r="27" spans="1:74" ht="12.75" customHeight="1" x14ac:dyDescent="0.2">
      <c r="A27" s="1608"/>
      <c r="B27" s="1614" t="s">
        <v>72</v>
      </c>
      <c r="C27" s="1615">
        <v>-57</v>
      </c>
      <c r="D27" s="1618">
        <v>-1.1399999999999999</v>
      </c>
      <c r="E27" s="1574"/>
      <c r="F27" s="1579"/>
      <c r="G27" s="933"/>
      <c r="H27" s="1577"/>
      <c r="I27" s="2323">
        <v>-7</v>
      </c>
      <c r="J27" s="1709">
        <v>1686</v>
      </c>
      <c r="K27" s="1028">
        <v>40</v>
      </c>
      <c r="L27" s="1696">
        <v>68</v>
      </c>
      <c r="M27" s="1693">
        <v>50</v>
      </c>
      <c r="N27" s="1709">
        <v>53</v>
      </c>
      <c r="O27" s="1028">
        <v>71</v>
      </c>
      <c r="P27" s="1696">
        <v>88</v>
      </c>
      <c r="Q27" s="1693">
        <v>118</v>
      </c>
      <c r="R27" s="1709">
        <v>92</v>
      </c>
      <c r="S27" s="1028">
        <v>125</v>
      </c>
      <c r="T27" s="1696">
        <v>195</v>
      </c>
      <c r="U27" s="1693">
        <v>142</v>
      </c>
      <c r="V27" s="1696">
        <v>177</v>
      </c>
      <c r="W27" s="1696">
        <v>206</v>
      </c>
      <c r="X27" s="1696">
        <v>1037</v>
      </c>
      <c r="Y27" s="1693">
        <v>121</v>
      </c>
      <c r="Z27" s="1696">
        <v>34</v>
      </c>
      <c r="AA27" s="1696">
        <v>-103</v>
      </c>
      <c r="AB27" s="1696">
        <v>275</v>
      </c>
      <c r="AC27" s="1693">
        <v>690</v>
      </c>
      <c r="AD27" s="1696">
        <v>472</v>
      </c>
      <c r="AE27" s="1696">
        <v>550</v>
      </c>
      <c r="AF27" s="1696">
        <v>709</v>
      </c>
      <c r="AG27" s="1693">
        <v>1042</v>
      </c>
      <c r="AH27" s="1696">
        <v>608</v>
      </c>
      <c r="AI27" s="1696">
        <v>1167</v>
      </c>
      <c r="AJ27" s="1696">
        <v>272</v>
      </c>
      <c r="AK27" s="1693">
        <v>657</v>
      </c>
      <c r="AL27" s="1696">
        <v>605</v>
      </c>
      <c r="AM27" s="1696">
        <v>643</v>
      </c>
      <c r="AN27" s="1696">
        <v>602</v>
      </c>
      <c r="AO27" s="1693">
        <v>517</v>
      </c>
      <c r="AP27" s="1712">
        <v>692</v>
      </c>
      <c r="AQ27" s="1712">
        <v>3936</v>
      </c>
      <c r="AR27" s="1712">
        <v>5582</v>
      </c>
      <c r="AS27" s="1712">
        <v>4292</v>
      </c>
      <c r="AT27" s="1713">
        <v>3663</v>
      </c>
      <c r="AU27" s="1693">
        <v>2463</v>
      </c>
      <c r="AV27" s="1693">
        <v>3310</v>
      </c>
      <c r="AW27" s="1712">
        <v>1287</v>
      </c>
      <c r="AX27" s="1733"/>
      <c r="AY27" s="1696">
        <v>1844</v>
      </c>
      <c r="AZ27" s="1696">
        <v>330</v>
      </c>
      <c r="BA27" s="1726">
        <v>1514</v>
      </c>
      <c r="BB27" s="1618" t="s">
        <v>42</v>
      </c>
      <c r="BC27" s="1698"/>
      <c r="BD27" s="1702">
        <v>1844</v>
      </c>
      <c r="BE27" s="1493">
        <v>330</v>
      </c>
      <c r="BF27" s="1493">
        <v>554</v>
      </c>
      <c r="BG27" s="1493">
        <v>1541</v>
      </c>
      <c r="BH27" s="1493">
        <v>896</v>
      </c>
      <c r="BI27" s="1493">
        <v>3004</v>
      </c>
      <c r="BJ27" s="1493">
        <v>3213</v>
      </c>
      <c r="BK27" s="1727">
        <v>2422</v>
      </c>
      <c r="BL27" s="1702">
        <v>2174</v>
      </c>
      <c r="BM27" s="1702">
        <v>1510</v>
      </c>
      <c r="BN27" s="1715">
        <v>538</v>
      </c>
      <c r="BO27" s="1715">
        <v>590</v>
      </c>
      <c r="BP27" s="1715">
        <v>836</v>
      </c>
      <c r="BQ27" s="1603"/>
      <c r="BS27" s="1560"/>
      <c r="BT27" s="1560"/>
      <c r="BU27" s="1560"/>
      <c r="BV27" s="1560"/>
    </row>
    <row r="28" spans="1:74" ht="12.75" customHeight="1" x14ac:dyDescent="0.2">
      <c r="A28" s="1608"/>
      <c r="B28" s="1608" t="s">
        <v>160</v>
      </c>
      <c r="C28" s="1615">
        <v>0</v>
      </c>
      <c r="D28" s="1618">
        <v>0</v>
      </c>
      <c r="E28" s="1574"/>
      <c r="F28" s="933"/>
      <c r="G28" s="933"/>
      <c r="H28" s="2307"/>
      <c r="I28" s="2328">
        <v>0</v>
      </c>
      <c r="J28" s="1028">
        <v>3427</v>
      </c>
      <c r="K28" s="1028">
        <v>0</v>
      </c>
      <c r="L28" s="1497">
        <v>0</v>
      </c>
      <c r="M28" s="1729">
        <v>0</v>
      </c>
      <c r="N28" s="1028">
        <v>4006</v>
      </c>
      <c r="O28" s="1028">
        <v>0</v>
      </c>
      <c r="P28" s="1497">
        <v>0</v>
      </c>
      <c r="Q28" s="1729">
        <v>0</v>
      </c>
      <c r="R28" s="1028">
        <v>0</v>
      </c>
      <c r="S28" s="1028">
        <v>0</v>
      </c>
      <c r="T28" s="1497">
        <v>4179</v>
      </c>
      <c r="U28" s="1729">
        <v>0</v>
      </c>
      <c r="V28" s="1497">
        <v>0</v>
      </c>
      <c r="W28" s="1497">
        <v>0</v>
      </c>
      <c r="X28" s="1497">
        <v>575</v>
      </c>
      <c r="Y28" s="1729">
        <v>0</v>
      </c>
      <c r="Z28" s="1497">
        <v>6979</v>
      </c>
      <c r="AA28" s="1497">
        <v>884</v>
      </c>
      <c r="AB28" s="1728">
        <v>0</v>
      </c>
      <c r="AC28" s="1729">
        <v>-343</v>
      </c>
      <c r="AD28" s="1497">
        <v>0</v>
      </c>
      <c r="AE28" s="1497">
        <v>0</v>
      </c>
      <c r="AF28" s="1728">
        <v>0</v>
      </c>
      <c r="AG28" s="1729">
        <v>0</v>
      </c>
      <c r="AH28" s="1696">
        <v>0</v>
      </c>
      <c r="AI28" s="1728">
        <v>0</v>
      </c>
      <c r="AJ28" s="1728">
        <v>0</v>
      </c>
      <c r="AK28" s="1729">
        <v>0</v>
      </c>
      <c r="AL28" s="1728">
        <v>22</v>
      </c>
      <c r="AM28" s="1728">
        <v>5010</v>
      </c>
      <c r="AN28" s="1728">
        <v>0</v>
      </c>
      <c r="AO28" s="1693">
        <v>0</v>
      </c>
      <c r="AP28" s="1712">
        <v>0</v>
      </c>
      <c r="AQ28" s="1712">
        <v>0</v>
      </c>
      <c r="AR28" s="1712">
        <v>0</v>
      </c>
      <c r="AS28" s="1712">
        <v>0</v>
      </c>
      <c r="AT28" s="1713">
        <v>0</v>
      </c>
      <c r="AU28" s="1693">
        <v>0</v>
      </c>
      <c r="AV28" s="1693"/>
      <c r="AW28" s="1712"/>
      <c r="AX28" s="1732"/>
      <c r="AY28" s="1696">
        <v>3427</v>
      </c>
      <c r="AZ28" s="1728">
        <v>4006</v>
      </c>
      <c r="BA28" s="1726">
        <v>-579</v>
      </c>
      <c r="BB28" s="1618">
        <v>-0.14453320019970045</v>
      </c>
      <c r="BC28" s="1734"/>
      <c r="BD28" s="1702">
        <v>3427</v>
      </c>
      <c r="BE28" s="1735">
        <v>4006</v>
      </c>
      <c r="BF28" s="1735">
        <v>4179</v>
      </c>
      <c r="BG28" s="1735">
        <v>575</v>
      </c>
      <c r="BH28" s="1735">
        <v>7863</v>
      </c>
      <c r="BI28" s="1736">
        <v>0</v>
      </c>
      <c r="BJ28" s="1736">
        <v>0</v>
      </c>
      <c r="BK28" s="1737">
        <v>4697</v>
      </c>
      <c r="BL28" s="1738">
        <v>0</v>
      </c>
      <c r="BM28" s="1738">
        <v>0</v>
      </c>
      <c r="BN28" s="1739">
        <v>0</v>
      </c>
      <c r="BO28" s="1715">
        <v>0</v>
      </c>
      <c r="BP28" s="1715">
        <v>0</v>
      </c>
      <c r="BQ28" s="1603"/>
      <c r="BS28" s="1560"/>
      <c r="BT28" s="1560"/>
      <c r="BU28" s="1560"/>
      <c r="BV28" s="1560"/>
    </row>
    <row r="29" spans="1:74" ht="12.75" customHeight="1" x14ac:dyDescent="0.2">
      <c r="A29" s="1608"/>
      <c r="B29" s="1608" t="s">
        <v>181</v>
      </c>
      <c r="C29" s="1615">
        <v>0</v>
      </c>
      <c r="D29" s="1618">
        <v>0</v>
      </c>
      <c r="E29" s="1574"/>
      <c r="F29" s="933"/>
      <c r="G29" s="933"/>
      <c r="H29" s="2307"/>
      <c r="I29" s="2328">
        <v>0</v>
      </c>
      <c r="J29" s="1028">
        <v>0</v>
      </c>
      <c r="K29" s="1028">
        <v>0</v>
      </c>
      <c r="L29" s="1497">
        <v>0</v>
      </c>
      <c r="M29" s="1729">
        <v>0</v>
      </c>
      <c r="N29" s="1028">
        <v>0</v>
      </c>
      <c r="O29" s="1028">
        <v>0</v>
      </c>
      <c r="P29" s="1497">
        <v>0</v>
      </c>
      <c r="Q29" s="1729">
        <v>0</v>
      </c>
      <c r="R29" s="1028">
        <v>0</v>
      </c>
      <c r="S29" s="1028">
        <v>0</v>
      </c>
      <c r="T29" s="1497">
        <v>0</v>
      </c>
      <c r="U29" s="1729">
        <v>0</v>
      </c>
      <c r="V29" s="1497">
        <v>0</v>
      </c>
      <c r="W29" s="1497">
        <v>0</v>
      </c>
      <c r="X29" s="1497">
        <v>388</v>
      </c>
      <c r="Y29" s="1729">
        <v>0</v>
      </c>
      <c r="Z29" s="1497">
        <v>0</v>
      </c>
      <c r="AA29" s="1497">
        <v>2290</v>
      </c>
      <c r="AB29" s="1728">
        <v>1443</v>
      </c>
      <c r="AC29" s="1729">
        <v>-23244</v>
      </c>
      <c r="AD29" s="1497">
        <v>0</v>
      </c>
      <c r="AE29" s="1497">
        <v>1750</v>
      </c>
      <c r="AF29" s="1728">
        <v>0</v>
      </c>
      <c r="AG29" s="1729">
        <v>10990</v>
      </c>
      <c r="AH29" s="1696">
        <v>5000</v>
      </c>
      <c r="AI29" s="1728">
        <v>0</v>
      </c>
      <c r="AJ29" s="1728">
        <v>0</v>
      </c>
      <c r="AK29" s="1729">
        <v>0</v>
      </c>
      <c r="AL29" s="1728">
        <v>0</v>
      </c>
      <c r="AM29" s="1728">
        <v>0</v>
      </c>
      <c r="AN29" s="1728">
        <v>0</v>
      </c>
      <c r="AO29" s="1693">
        <v>0</v>
      </c>
      <c r="AP29" s="1712"/>
      <c r="AQ29" s="1712">
        <v>0</v>
      </c>
      <c r="AR29" s="1712">
        <v>0</v>
      </c>
      <c r="AS29" s="1712">
        <v>0</v>
      </c>
      <c r="AT29" s="1713">
        <v>0</v>
      </c>
      <c r="AU29" s="1693">
        <v>0</v>
      </c>
      <c r="AV29" s="1693">
        <v>0</v>
      </c>
      <c r="AW29" s="1712">
        <v>0</v>
      </c>
      <c r="AX29" s="1732"/>
      <c r="AY29" s="1696">
        <v>0</v>
      </c>
      <c r="AZ29" s="1728">
        <v>0</v>
      </c>
      <c r="BA29" s="1726">
        <v>0</v>
      </c>
      <c r="BB29" s="1618">
        <v>0</v>
      </c>
      <c r="BC29" s="1734"/>
      <c r="BD29" s="2208">
        <v>0</v>
      </c>
      <c r="BE29" s="1736">
        <v>0</v>
      </c>
      <c r="BF29" s="1736">
        <v>0</v>
      </c>
      <c r="BG29" s="1735">
        <v>388</v>
      </c>
      <c r="BH29" s="1735">
        <v>3733</v>
      </c>
      <c r="BI29" s="1735">
        <v>12740</v>
      </c>
      <c r="BJ29" s="1735">
        <v>5000</v>
      </c>
      <c r="BK29" s="1737">
        <v>0</v>
      </c>
      <c r="BL29" s="1738">
        <v>0</v>
      </c>
      <c r="BM29" s="1738">
        <v>0</v>
      </c>
      <c r="BN29" s="1739">
        <v>0</v>
      </c>
      <c r="BO29" s="1715"/>
      <c r="BP29" s="1715">
        <v>0</v>
      </c>
      <c r="BQ29" s="1603"/>
      <c r="BS29" s="1560"/>
      <c r="BT29" s="1560"/>
      <c r="BU29" s="1560"/>
      <c r="BV29" s="1560"/>
    </row>
    <row r="30" spans="1:74" ht="12.75" customHeight="1" x14ac:dyDescent="0.2">
      <c r="A30" s="1608"/>
      <c r="B30" s="1608" t="s">
        <v>442</v>
      </c>
      <c r="C30" s="1615">
        <v>0</v>
      </c>
      <c r="D30" s="1618">
        <v>0</v>
      </c>
      <c r="E30" s="1574"/>
      <c r="F30" s="1583"/>
      <c r="G30" s="1584"/>
      <c r="H30" s="2329"/>
      <c r="I30" s="2330">
        <v>0</v>
      </c>
      <c r="J30" s="2347">
        <v>0</v>
      </c>
      <c r="K30" s="1632">
        <v>150000</v>
      </c>
      <c r="L30" s="1740">
        <v>0</v>
      </c>
      <c r="M30" s="1741">
        <v>0</v>
      </c>
      <c r="N30" s="1632">
        <v>0</v>
      </c>
      <c r="O30" s="1632">
        <v>0</v>
      </c>
      <c r="P30" s="1740">
        <v>0</v>
      </c>
      <c r="Q30" s="1741">
        <v>0</v>
      </c>
      <c r="R30" s="1632">
        <v>0</v>
      </c>
      <c r="S30" s="1632">
        <v>0</v>
      </c>
      <c r="T30" s="1740"/>
      <c r="U30" s="1741"/>
      <c r="V30" s="1740"/>
      <c r="W30" s="1740"/>
      <c r="X30" s="1740"/>
      <c r="Y30" s="1741"/>
      <c r="Z30" s="1740"/>
      <c r="AA30" s="1740">
        <v>0</v>
      </c>
      <c r="AB30" s="1740">
        <v>0</v>
      </c>
      <c r="AC30" s="1741">
        <v>0</v>
      </c>
      <c r="AD30" s="1740"/>
      <c r="AE30" s="1740"/>
      <c r="AF30" s="1740"/>
      <c r="AG30" s="1741"/>
      <c r="AH30" s="1740"/>
      <c r="AI30" s="1740">
        <v>0</v>
      </c>
      <c r="AJ30" s="1740">
        <v>0</v>
      </c>
      <c r="AK30" s="1741">
        <v>0</v>
      </c>
      <c r="AL30" s="1740">
        <v>0</v>
      </c>
      <c r="AM30" s="1740">
        <v>0</v>
      </c>
      <c r="AN30" s="1740">
        <v>0</v>
      </c>
      <c r="AO30" s="1741">
        <v>0</v>
      </c>
      <c r="AP30" s="1742">
        <v>0</v>
      </c>
      <c r="AQ30" s="1740">
        <v>0</v>
      </c>
      <c r="AR30" s="1740">
        <v>0</v>
      </c>
      <c r="AS30" s="1740">
        <v>0</v>
      </c>
      <c r="AT30" s="1742">
        <v>0</v>
      </c>
      <c r="AU30" s="1741">
        <v>0</v>
      </c>
      <c r="AV30" s="1741"/>
      <c r="AW30" s="1740"/>
      <c r="AX30" s="1733"/>
      <c r="AY30" s="1696">
        <v>150000</v>
      </c>
      <c r="AZ30" s="1731">
        <v>0</v>
      </c>
      <c r="BA30" s="1726">
        <v>150000</v>
      </c>
      <c r="BB30" s="1618" t="s">
        <v>42</v>
      </c>
      <c r="BC30" s="1698"/>
      <c r="BD30" s="1702">
        <v>150000</v>
      </c>
      <c r="BE30" s="1736">
        <v>0</v>
      </c>
      <c r="BF30" s="1736">
        <v>0</v>
      </c>
      <c r="BG30" s="1736">
        <v>0</v>
      </c>
      <c r="BH30" s="1736">
        <v>0</v>
      </c>
      <c r="BI30" s="1736">
        <v>0</v>
      </c>
      <c r="BJ30" s="1736"/>
      <c r="BK30" s="1730">
        <v>3958</v>
      </c>
      <c r="BL30" s="1743">
        <v>0</v>
      </c>
      <c r="BM30" s="1743">
        <v>0</v>
      </c>
      <c r="BN30" s="1743">
        <v>0</v>
      </c>
      <c r="BO30" s="1743">
        <v>0</v>
      </c>
      <c r="BP30" s="1743">
        <v>0</v>
      </c>
      <c r="BQ30" s="1603"/>
      <c r="BS30" s="1560"/>
      <c r="BT30" s="1560"/>
      <c r="BU30" s="1560"/>
      <c r="BV30" s="1560"/>
    </row>
    <row r="31" spans="1:74" ht="12.75" customHeight="1" x14ac:dyDescent="0.2">
      <c r="A31" s="1612"/>
      <c r="B31" s="1608"/>
      <c r="C31" s="1616">
        <v>7477</v>
      </c>
      <c r="D31" s="1751">
        <v>0.27856637234082188</v>
      </c>
      <c r="E31" s="1574"/>
      <c r="F31" s="1578">
        <v>0</v>
      </c>
      <c r="G31" s="1578">
        <v>0</v>
      </c>
      <c r="H31" s="1578">
        <v>0</v>
      </c>
      <c r="I31" s="2325">
        <v>34318</v>
      </c>
      <c r="J31" s="1704">
        <v>39255</v>
      </c>
      <c r="K31" s="1704">
        <v>178083</v>
      </c>
      <c r="L31" s="1704">
        <v>21859</v>
      </c>
      <c r="M31" s="1711">
        <v>26841</v>
      </c>
      <c r="N31" s="1704">
        <v>40994</v>
      </c>
      <c r="O31" s="1704">
        <v>27845</v>
      </c>
      <c r="P31" s="1704">
        <v>46253</v>
      </c>
      <c r="Q31" s="1711">
        <v>42850</v>
      </c>
      <c r="R31" s="1704">
        <v>33465</v>
      </c>
      <c r="S31" s="1704">
        <v>33465</v>
      </c>
      <c r="T31" s="1704">
        <v>33106</v>
      </c>
      <c r="U31" s="1711">
        <v>26171</v>
      </c>
      <c r="V31" s="1704">
        <v>40427</v>
      </c>
      <c r="W31" s="1704">
        <v>49904</v>
      </c>
      <c r="X31" s="1704">
        <v>35842</v>
      </c>
      <c r="Y31" s="1711">
        <v>31620</v>
      </c>
      <c r="Z31" s="1704">
        <v>58961</v>
      </c>
      <c r="AA31" s="1704">
        <v>43143</v>
      </c>
      <c r="AB31" s="1704">
        <v>37095</v>
      </c>
      <c r="AC31" s="1711">
        <v>18022</v>
      </c>
      <c r="AD31" s="1747">
        <v>50271</v>
      </c>
      <c r="AE31" s="1747">
        <v>61943</v>
      </c>
      <c r="AF31" s="1704">
        <v>34417</v>
      </c>
      <c r="AG31" s="1711">
        <v>44140</v>
      </c>
      <c r="AH31" s="1704">
        <v>27693</v>
      </c>
      <c r="AI31" s="1747">
        <v>37922</v>
      </c>
      <c r="AJ31" s="1704">
        <v>19480</v>
      </c>
      <c r="AK31" s="1711">
        <v>22187</v>
      </c>
      <c r="AL31" s="1747">
        <v>15783</v>
      </c>
      <c r="AM31" s="1747">
        <v>21597</v>
      </c>
      <c r="AN31" s="1747">
        <v>20639</v>
      </c>
      <c r="AO31" s="1711">
        <v>27571</v>
      </c>
      <c r="AP31" s="1747">
        <v>24147</v>
      </c>
      <c r="AQ31" s="1747">
        <v>87449</v>
      </c>
      <c r="AR31" s="1703">
        <v>74128</v>
      </c>
      <c r="AS31" s="1747">
        <v>106349</v>
      </c>
      <c r="AT31" s="1748">
        <v>100905</v>
      </c>
      <c r="AU31" s="1711">
        <v>75317</v>
      </c>
      <c r="AV31" s="1711">
        <v>70703</v>
      </c>
      <c r="AW31" s="1747">
        <v>91522</v>
      </c>
      <c r="AX31" s="1749"/>
      <c r="AY31" s="1704">
        <v>266038</v>
      </c>
      <c r="AZ31" s="1704">
        <v>157942</v>
      </c>
      <c r="BA31" s="1750">
        <v>108096</v>
      </c>
      <c r="BB31" s="1751">
        <v>0.68440313532815844</v>
      </c>
      <c r="BC31" s="1633"/>
      <c r="BD31" s="2241">
        <v>266038</v>
      </c>
      <c r="BE31" s="1752">
        <v>157942</v>
      </c>
      <c r="BF31" s="1752">
        <v>126207</v>
      </c>
      <c r="BG31" s="1752">
        <v>157791</v>
      </c>
      <c r="BH31" s="1752">
        <v>180808</v>
      </c>
      <c r="BI31" s="1752">
        <v>219154</v>
      </c>
      <c r="BJ31" s="1752">
        <v>129651</v>
      </c>
      <c r="BK31" s="1752">
        <v>111254</v>
      </c>
      <c r="BL31" s="1752">
        <f>SUM(BL19:BL30)</f>
        <v>120138</v>
      </c>
      <c r="BM31" s="1752">
        <f>SUM(BM19:BM30)</f>
        <v>125171</v>
      </c>
      <c r="BN31" s="1753">
        <f>SUM(BN19:BN30)</f>
        <v>105485</v>
      </c>
      <c r="BO31" s="1753">
        <f>SUM(BO19:BO30)</f>
        <v>67435</v>
      </c>
      <c r="BP31" s="1708">
        <v>154490</v>
      </c>
      <c r="BQ31" s="1603"/>
      <c r="BS31" s="1560"/>
      <c r="BT31" s="1560"/>
      <c r="BU31" s="1560"/>
      <c r="BV31" s="1560"/>
    </row>
    <row r="32" spans="1:74" s="1588" customFormat="1" ht="24.95" customHeight="1" thickBot="1" x14ac:dyDescent="0.25">
      <c r="A32" s="2480" t="s">
        <v>179</v>
      </c>
      <c r="B32" s="2481"/>
      <c r="C32" s="1616">
        <v>7079</v>
      </c>
      <c r="D32" s="1617">
        <v>0.94449633088725815</v>
      </c>
      <c r="E32" s="1574"/>
      <c r="F32" s="1586">
        <v>0</v>
      </c>
      <c r="G32" s="1586">
        <v>0</v>
      </c>
      <c r="H32" s="1586">
        <v>0</v>
      </c>
      <c r="I32" s="2331">
        <v>14574</v>
      </c>
      <c r="J32" s="1754">
        <v>-149</v>
      </c>
      <c r="K32" s="1754">
        <v>-144884</v>
      </c>
      <c r="L32" s="1754">
        <v>2899</v>
      </c>
      <c r="M32" s="1755">
        <v>7495</v>
      </c>
      <c r="N32" s="1754">
        <v>7298</v>
      </c>
      <c r="O32" s="1754">
        <v>1347</v>
      </c>
      <c r="P32" s="1754">
        <v>22660</v>
      </c>
      <c r="Q32" s="1755">
        <v>15338</v>
      </c>
      <c r="R32" s="1754">
        <v>9592</v>
      </c>
      <c r="S32" s="1754">
        <v>7818</v>
      </c>
      <c r="T32" s="1754">
        <v>-1842</v>
      </c>
      <c r="U32" s="1755">
        <v>6739</v>
      </c>
      <c r="V32" s="1754">
        <v>16387</v>
      </c>
      <c r="W32" s="1754">
        <v>26551</v>
      </c>
      <c r="X32" s="1754">
        <v>-396</v>
      </c>
      <c r="Y32" s="1755">
        <v>4004</v>
      </c>
      <c r="Z32" s="1754">
        <v>12045</v>
      </c>
      <c r="AA32" s="1754">
        <v>13799</v>
      </c>
      <c r="AB32" s="1754">
        <v>5396</v>
      </c>
      <c r="AC32" s="1755">
        <v>43845</v>
      </c>
      <c r="AD32" s="1754">
        <v>38361</v>
      </c>
      <c r="AE32" s="1754">
        <v>47461</v>
      </c>
      <c r="AF32" s="1728">
        <v>15492</v>
      </c>
      <c r="AG32" s="1755">
        <v>8917</v>
      </c>
      <c r="AH32" s="1728">
        <v>5113</v>
      </c>
      <c r="AI32" s="1754">
        <v>20118</v>
      </c>
      <c r="AJ32" s="1728">
        <v>7834</v>
      </c>
      <c r="AK32" s="1755">
        <v>7867</v>
      </c>
      <c r="AL32" s="1754">
        <v>9250</v>
      </c>
      <c r="AM32" s="1754">
        <v>-8958</v>
      </c>
      <c r="AN32" s="1754">
        <v>2822</v>
      </c>
      <c r="AO32" s="1755">
        <v>6781</v>
      </c>
      <c r="AP32" s="1754">
        <v>7797</v>
      </c>
      <c r="AQ32" s="1704">
        <v>22134</v>
      </c>
      <c r="AR32" s="1703">
        <v>14943</v>
      </c>
      <c r="AS32" s="1704">
        <v>48674</v>
      </c>
      <c r="AT32" s="1704">
        <v>29246</v>
      </c>
      <c r="AU32" s="1704">
        <v>26110</v>
      </c>
      <c r="AV32" s="1704">
        <v>22330</v>
      </c>
      <c r="AW32" s="1704">
        <v>33584</v>
      </c>
      <c r="AX32" s="1749"/>
      <c r="AY32" s="1754">
        <v>-134639</v>
      </c>
      <c r="AZ32" s="1754">
        <v>46643</v>
      </c>
      <c r="BA32" s="1475">
        <v>-181282</v>
      </c>
      <c r="BB32" s="1617" t="s">
        <v>42</v>
      </c>
      <c r="BC32" s="1633"/>
      <c r="BD32" s="2242">
        <v>-134639</v>
      </c>
      <c r="BE32" s="1707">
        <v>46643</v>
      </c>
      <c r="BF32" s="1707">
        <v>22307</v>
      </c>
      <c r="BG32" s="1707">
        <v>46546</v>
      </c>
      <c r="BH32" s="1707">
        <v>51498</v>
      </c>
      <c r="BI32" s="1707">
        <v>119366</v>
      </c>
      <c r="BJ32" s="1707">
        <v>47930</v>
      </c>
      <c r="BK32" s="1707">
        <v>11596</v>
      </c>
      <c r="BL32" s="1756">
        <f>BL15-BL31</f>
        <v>56517</v>
      </c>
      <c r="BM32" s="1756">
        <f>BM15-BM31</f>
        <v>62391</v>
      </c>
      <c r="BN32" s="1708">
        <f>BN15-BN31</f>
        <v>44985</v>
      </c>
      <c r="BO32" s="1708">
        <f>BO15-BO31</f>
        <v>28124</v>
      </c>
      <c r="BP32" s="1757">
        <v>57268</v>
      </c>
      <c r="BQ32" s="1758"/>
      <c r="BS32" s="1587"/>
      <c r="BT32" s="1587"/>
      <c r="BU32" s="1587"/>
      <c r="BV32" s="1587"/>
    </row>
    <row r="33" spans="1:74" s="1588" customFormat="1" ht="14.25" thickTop="1" thickBot="1" x14ac:dyDescent="0.25">
      <c r="A33" s="2480" t="s">
        <v>74</v>
      </c>
      <c r="B33" s="2482"/>
      <c r="C33" s="1625">
        <v>7722</v>
      </c>
      <c r="D33" s="1626">
        <v>1.6387945670628183</v>
      </c>
      <c r="E33" s="1574"/>
      <c r="F33" s="1590">
        <v>0</v>
      </c>
      <c r="G33" s="1590">
        <v>0</v>
      </c>
      <c r="H33" s="1590">
        <v>0</v>
      </c>
      <c r="I33" s="2332">
        <v>12434</v>
      </c>
      <c r="J33" s="1763">
        <v>-3752</v>
      </c>
      <c r="K33" s="1763">
        <v>-147624</v>
      </c>
      <c r="L33" s="1763">
        <v>-49</v>
      </c>
      <c r="M33" s="1764">
        <v>4712</v>
      </c>
      <c r="N33" s="1763">
        <v>4784</v>
      </c>
      <c r="O33" s="1763">
        <v>-636</v>
      </c>
      <c r="P33" s="1763">
        <v>19815</v>
      </c>
      <c r="Q33" s="1764">
        <v>13172</v>
      </c>
      <c r="R33" s="1763">
        <v>6562</v>
      </c>
      <c r="S33" s="1763">
        <v>5062</v>
      </c>
      <c r="T33" s="1763">
        <v>-3614</v>
      </c>
      <c r="U33" s="1764">
        <v>4378</v>
      </c>
      <c r="V33" s="1763">
        <v>14108</v>
      </c>
      <c r="W33" s="1763">
        <v>23960</v>
      </c>
      <c r="X33" s="1763">
        <v>-2914</v>
      </c>
      <c r="Y33" s="1764">
        <v>1090</v>
      </c>
      <c r="Z33" s="1763">
        <v>8938</v>
      </c>
      <c r="AA33" s="1763">
        <v>11184</v>
      </c>
      <c r="AB33" s="1763">
        <v>2292</v>
      </c>
      <c r="AC33" s="1764">
        <v>40804</v>
      </c>
      <c r="AD33" s="1763">
        <v>36801</v>
      </c>
      <c r="AE33" s="1763">
        <v>45665</v>
      </c>
      <c r="AF33" s="1763">
        <v>13619</v>
      </c>
      <c r="AG33" s="1764">
        <v>7176</v>
      </c>
      <c r="AH33" s="1763">
        <v>3356</v>
      </c>
      <c r="AI33" s="1763">
        <v>18635</v>
      </c>
      <c r="AJ33" s="1763">
        <v>6460</v>
      </c>
      <c r="AK33" s="1764">
        <v>6408</v>
      </c>
      <c r="AL33" s="1763">
        <v>7026</v>
      </c>
      <c r="AM33" s="1763">
        <v>-9629</v>
      </c>
      <c r="AN33" s="1763">
        <v>457</v>
      </c>
      <c r="AO33" s="1764">
        <v>5397</v>
      </c>
      <c r="AP33" s="1763">
        <v>6908</v>
      </c>
      <c r="AQ33" s="1765" t="s">
        <v>177</v>
      </c>
      <c r="AR33" s="1766" t="s">
        <v>177</v>
      </c>
      <c r="AS33" s="1765"/>
      <c r="AT33" s="1765"/>
      <c r="AU33" s="1765"/>
      <c r="AV33" s="1765"/>
      <c r="AW33" s="1765"/>
      <c r="AX33" s="1759"/>
      <c r="AY33" s="1763">
        <v>-146713</v>
      </c>
      <c r="AZ33" s="1763">
        <v>37135</v>
      </c>
      <c r="BA33" s="1510">
        <v>-183848</v>
      </c>
      <c r="BB33" s="1626" t="s">
        <v>42</v>
      </c>
      <c r="BC33" s="1760"/>
      <c r="BD33" s="2243">
        <v>-146713</v>
      </c>
      <c r="BE33" s="1767">
        <v>37135</v>
      </c>
      <c r="BF33" s="1767">
        <v>12388</v>
      </c>
      <c r="BG33" s="1767">
        <v>36244</v>
      </c>
      <c r="BH33" s="1767">
        <v>39631</v>
      </c>
      <c r="BI33" s="1767">
        <v>108463</v>
      </c>
      <c r="BJ33" s="1767">
        <v>38357</v>
      </c>
      <c r="BK33" s="1767">
        <v>11596</v>
      </c>
      <c r="BL33" s="1768" t="e">
        <f>BL32-#REF!</f>
        <v>#REF!</v>
      </c>
      <c r="BM33" s="1768" t="e">
        <f>BM32-#REF!</f>
        <v>#REF!</v>
      </c>
      <c r="BN33" s="1769" t="e">
        <f>BN32-#REF!</f>
        <v>#REF!</v>
      </c>
      <c r="BO33" s="1708" t="e">
        <f>BO32-#REF!</f>
        <v>#REF!</v>
      </c>
      <c r="BP33" s="1627"/>
      <c r="BQ33" s="1758"/>
      <c r="BS33" s="1587"/>
      <c r="BT33" s="1587"/>
      <c r="BU33" s="1587"/>
      <c r="BV33" s="1587"/>
    </row>
    <row r="34" spans="1:74" ht="12.75" customHeight="1" thickTop="1" x14ac:dyDescent="0.2">
      <c r="A34" s="1622"/>
      <c r="B34" s="1622"/>
      <c r="C34" s="1627"/>
      <c r="D34" s="1628"/>
      <c r="E34" s="1591"/>
      <c r="F34" s="1591"/>
      <c r="G34" s="2333"/>
      <c r="H34" s="2333"/>
      <c r="I34" s="1564"/>
      <c r="J34" s="1628"/>
      <c r="K34" s="1770"/>
      <c r="L34" s="1770"/>
      <c r="M34" s="1608"/>
      <c r="N34" s="1628"/>
      <c r="O34" s="1770"/>
      <c r="P34" s="1770"/>
      <c r="Q34" s="1608"/>
      <c r="R34" s="1628"/>
      <c r="S34" s="1770"/>
      <c r="T34" s="1770"/>
      <c r="U34" s="1608"/>
      <c r="V34" s="1628"/>
      <c r="W34" s="1770"/>
      <c r="X34" s="1770"/>
      <c r="Y34" s="1608"/>
      <c r="Z34" s="1628"/>
      <c r="AA34" s="1628"/>
      <c r="AB34" s="1770"/>
      <c r="AC34" s="1608"/>
      <c r="AD34" s="1628"/>
      <c r="AE34" s="1628"/>
      <c r="AF34" s="1628"/>
      <c r="AG34" s="1608"/>
      <c r="AH34" s="1628"/>
      <c r="AI34" s="1628"/>
      <c r="AJ34" s="1628"/>
      <c r="AK34" s="1608"/>
      <c r="AL34" s="1628"/>
      <c r="AM34" s="1628"/>
      <c r="AN34" s="1628"/>
      <c r="AO34" s="1608"/>
      <c r="AP34" s="1622"/>
      <c r="AQ34" s="1622"/>
      <c r="AR34" s="1622"/>
      <c r="AS34" s="1622"/>
      <c r="AT34" s="1771"/>
      <c r="AU34" s="1771"/>
      <c r="AV34" s="1771"/>
      <c r="AW34" s="1771"/>
      <c r="AX34" s="1608"/>
      <c r="AY34" s="1608"/>
      <c r="AZ34" s="1633"/>
      <c r="BA34" s="1701"/>
      <c r="BB34" s="1628"/>
      <c r="BC34" s="1633"/>
      <c r="BD34" s="1633"/>
      <c r="BE34" s="1633"/>
      <c r="BF34" s="1633"/>
      <c r="BG34" s="1633"/>
      <c r="BH34" s="1633"/>
      <c r="BI34" s="1633"/>
      <c r="BJ34" s="1633"/>
      <c r="BK34" s="1633"/>
      <c r="BL34" s="1627"/>
      <c r="BM34" s="1627"/>
      <c r="BN34" s="1627"/>
      <c r="BO34" s="1627"/>
      <c r="BP34" s="1627"/>
      <c r="BQ34" s="1603"/>
      <c r="BS34" s="1560"/>
      <c r="BT34" s="1560"/>
      <c r="BU34" s="1560"/>
      <c r="BV34" s="1560"/>
    </row>
    <row r="35" spans="1:74" ht="12.75" customHeight="1" x14ac:dyDescent="0.2">
      <c r="A35" s="1622" t="s">
        <v>306</v>
      </c>
      <c r="B35" s="1622"/>
      <c r="C35" s="1629">
        <v>7.1957328357254156</v>
      </c>
      <c r="D35" s="1628"/>
      <c r="E35" s="1591"/>
      <c r="F35" s="1592" t="e">
        <v>#DIV/0!</v>
      </c>
      <c r="G35" s="1592" t="e">
        <v>#DIV/0!</v>
      </c>
      <c r="H35" s="1592" t="e">
        <v>#DIV/0!</v>
      </c>
      <c r="I35" s="1592">
        <v>0.43303607952221224</v>
      </c>
      <c r="J35" s="1644">
        <v>0.50997289418503555</v>
      </c>
      <c r="K35" s="1644">
        <v>0.42941052441338595</v>
      </c>
      <c r="L35" s="1644">
        <v>0.34453509976573227</v>
      </c>
      <c r="M35" s="1644">
        <v>0.36107875116495808</v>
      </c>
      <c r="N35" s="1644">
        <v>0.41184875341671501</v>
      </c>
      <c r="O35" s="1644">
        <v>0.33906549739654701</v>
      </c>
      <c r="P35" s="1644">
        <v>0.42790184725668595</v>
      </c>
      <c r="Q35" s="1644">
        <v>0.43716917577507391</v>
      </c>
      <c r="R35" s="1644">
        <v>0.4095269061941148</v>
      </c>
      <c r="S35" s="1644">
        <v>0.39023326793110968</v>
      </c>
      <c r="T35" s="1644">
        <v>0.35014713408393039</v>
      </c>
      <c r="U35" s="1644">
        <v>0.27371619568520206</v>
      </c>
      <c r="V35" s="1644">
        <v>0.43452318090611469</v>
      </c>
      <c r="W35" s="1644">
        <v>0.42332644465953384</v>
      </c>
      <c r="X35" s="1644">
        <v>0.39509098603470166</v>
      </c>
      <c r="Y35" s="1644">
        <v>0.38086683134965194</v>
      </c>
      <c r="Z35" s="1644">
        <v>0.42531617046446779</v>
      </c>
      <c r="AA35" s="1644">
        <v>0.41185767974430121</v>
      </c>
      <c r="AB35" s="1644">
        <v>0.40003765503283051</v>
      </c>
      <c r="AC35" s="1644">
        <v>0.47189939709376566</v>
      </c>
      <c r="AD35" s="1644">
        <v>0.48563724162830579</v>
      </c>
      <c r="AE35" s="1644">
        <v>0.43493839347738655</v>
      </c>
      <c r="AF35" s="1644">
        <v>0.41539602075777915</v>
      </c>
      <c r="AG35" s="1644"/>
      <c r="AH35" s="1644"/>
      <c r="AI35" s="1644"/>
      <c r="AJ35" s="1644"/>
      <c r="AK35" s="1644"/>
      <c r="AL35" s="1644"/>
      <c r="AM35" s="1644"/>
      <c r="AN35" s="1644"/>
      <c r="AO35" s="1644"/>
      <c r="AP35" s="1644"/>
      <c r="AQ35" s="1644"/>
      <c r="AR35" s="1644"/>
      <c r="AS35" s="1644"/>
      <c r="AT35" s="1644"/>
      <c r="AU35" s="1644"/>
      <c r="AV35" s="1644"/>
      <c r="AW35" s="1644"/>
      <c r="AX35" s="1608"/>
      <c r="AY35" s="1644">
        <v>0.41953896148372516</v>
      </c>
      <c r="AZ35" s="1772">
        <v>0.41407239044895766</v>
      </c>
      <c r="BA35" s="1629">
        <v>0.54665710347674978</v>
      </c>
      <c r="BB35" s="1628"/>
      <c r="BC35" s="1633"/>
      <c r="BD35" s="1644">
        <v>0.41953896148372516</v>
      </c>
      <c r="BE35" s="1772">
        <v>0.41407239044895766</v>
      </c>
      <c r="BF35" s="1772">
        <v>0.36156860632667626</v>
      </c>
      <c r="BG35" s="1772">
        <v>0.41409534249793234</v>
      </c>
      <c r="BH35" s="1772">
        <v>0.42979948860554612</v>
      </c>
      <c r="BI35" s="1772">
        <v>0.43447949899562804</v>
      </c>
      <c r="BJ35" s="1772">
        <f>+BJ17/BJ$15</f>
        <v>0.48791255821287188</v>
      </c>
      <c r="BK35" s="1772">
        <v>0.51352055352055348</v>
      </c>
      <c r="BL35" s="1772">
        <f>+BL17/BL$15</f>
        <v>0.49947071976451274</v>
      </c>
      <c r="BM35" s="1627"/>
      <c r="BN35" s="1627"/>
      <c r="BO35" s="1627"/>
      <c r="BP35" s="1627"/>
      <c r="BQ35" s="1603"/>
      <c r="BS35" s="1560"/>
      <c r="BT35" s="1560"/>
      <c r="BU35" s="1560"/>
      <c r="BV35" s="1560"/>
    </row>
    <row r="36" spans="1:74" ht="12.75" customHeight="1" x14ac:dyDescent="0.2">
      <c r="A36" s="1622" t="s">
        <v>352</v>
      </c>
      <c r="B36" s="1622"/>
      <c r="C36" s="1629">
        <v>-3.211250786201346</v>
      </c>
      <c r="D36" s="1628"/>
      <c r="E36" s="1591"/>
      <c r="F36" s="1592" t="e">
        <v>#DIV/0!</v>
      </c>
      <c r="G36" s="1592" t="e">
        <v>#DIV/0!</v>
      </c>
      <c r="H36" s="1592" t="e">
        <v>#DIV/0!</v>
      </c>
      <c r="I36" s="1592">
        <v>5.3628405465106763E-2</v>
      </c>
      <c r="J36" s="1644">
        <v>0.11315399171482637</v>
      </c>
      <c r="K36" s="1644">
        <v>8.584595921563902E-2</v>
      </c>
      <c r="L36" s="1644">
        <v>0.11996122465465708</v>
      </c>
      <c r="M36" s="1644">
        <v>8.5740913327120222E-2</v>
      </c>
      <c r="N36" s="1644">
        <v>9.3121013832518848E-2</v>
      </c>
      <c r="O36" s="1644">
        <v>0.1267470539873938</v>
      </c>
      <c r="P36" s="1644">
        <v>4.6870692031982353E-2</v>
      </c>
      <c r="Q36" s="1644">
        <v>5.544098439540799E-2</v>
      </c>
      <c r="R36" s="1644">
        <v>9.8636690898111806E-2</v>
      </c>
      <c r="S36" s="1644">
        <v>9.7352421093428287E-2</v>
      </c>
      <c r="T36" s="1644">
        <v>0.15893679631525076</v>
      </c>
      <c r="U36" s="1644">
        <v>0.15524156791248861</v>
      </c>
      <c r="V36" s="1644">
        <v>6.6145668321188442E-2</v>
      </c>
      <c r="W36" s="1644">
        <v>4.8669788369477072E-2</v>
      </c>
      <c r="X36" s="1644">
        <v>0.15426717449569757</v>
      </c>
      <c r="Y36" s="1644">
        <v>9.8529081518077696E-2</v>
      </c>
      <c r="Z36" s="1644">
        <v>8.8429146832662023E-2</v>
      </c>
      <c r="AA36" s="1644">
        <v>5.7145867725053562E-2</v>
      </c>
      <c r="AB36" s="1644">
        <v>7.4556965004353867E-2</v>
      </c>
      <c r="AC36" s="1644">
        <v>-5.4407034444857519E-2</v>
      </c>
      <c r="AD36" s="1644">
        <v>-4.2196949183139272E-2</v>
      </c>
      <c r="AE36" s="1644">
        <v>5.4659793060582796E-3</v>
      </c>
      <c r="AF36" s="1644">
        <v>3.5664910136448333E-2</v>
      </c>
      <c r="AG36" s="1644"/>
      <c r="AH36" s="1644"/>
      <c r="AI36" s="1644"/>
      <c r="AJ36" s="1644"/>
      <c r="AK36" s="1644"/>
      <c r="AL36" s="1644"/>
      <c r="AM36" s="1644"/>
      <c r="AN36" s="1644"/>
      <c r="AO36" s="1644"/>
      <c r="AP36" s="1644"/>
      <c r="AQ36" s="1644"/>
      <c r="AR36" s="1644"/>
      <c r="AS36" s="1644"/>
      <c r="AT36" s="1644"/>
      <c r="AU36" s="1644"/>
      <c r="AV36" s="1644"/>
      <c r="AW36" s="1644"/>
      <c r="AX36" s="1608"/>
      <c r="AY36" s="1644">
        <v>0.10037367103250405</v>
      </c>
      <c r="AZ36" s="1772">
        <v>7.1623041767480508E-2</v>
      </c>
      <c r="BA36" s="1629">
        <v>2.8750629265023546</v>
      </c>
      <c r="BB36" s="1628"/>
      <c r="BC36" s="1633"/>
      <c r="BD36" s="1644">
        <v>0.10037367103250405</v>
      </c>
      <c r="BE36" s="1772">
        <v>7.1623041767480508E-2</v>
      </c>
      <c r="BF36" s="1772">
        <v>0.1235169748306557</v>
      </c>
      <c r="BG36" s="1772">
        <v>8.0577673157577925E-2</v>
      </c>
      <c r="BH36" s="1772">
        <v>4.0184067566055116E-2</v>
      </c>
      <c r="BI36" s="1772">
        <v>-3.3232896136121941E-3</v>
      </c>
      <c r="BJ36" s="1772">
        <f>+BJ18/BJ$15</f>
        <v>3.654107139840411E-2</v>
      </c>
      <c r="BK36" s="1772">
        <v>3.2047212047212045E-2</v>
      </c>
      <c r="BL36" s="1772">
        <f>+BL18/BL$15</f>
        <v>-1.4321700489654976E-3</v>
      </c>
      <c r="BM36" s="1627"/>
      <c r="BN36" s="1627"/>
      <c r="BO36" s="1627"/>
      <c r="BP36" s="1627"/>
      <c r="BQ36" s="1603"/>
      <c r="BS36" s="1560"/>
      <c r="BT36" s="1560"/>
      <c r="BU36" s="1560"/>
      <c r="BV36" s="1560"/>
    </row>
    <row r="37" spans="1:74" ht="12.75" customHeight="1" x14ac:dyDescent="0.2">
      <c r="A37" s="1630" t="s">
        <v>76</v>
      </c>
      <c r="B37" s="1631"/>
      <c r="C37" s="1629">
        <v>3.984482049524074</v>
      </c>
      <c r="D37" s="1628"/>
      <c r="E37" s="1591"/>
      <c r="F37" s="1592" t="e">
        <v>#DIV/0!</v>
      </c>
      <c r="G37" s="1592" t="e">
        <v>#DIV/0!</v>
      </c>
      <c r="H37" s="1592" t="e">
        <v>#DIV/0!</v>
      </c>
      <c r="I37" s="1592">
        <v>0.48666448498731901</v>
      </c>
      <c r="J37" s="1644">
        <v>0.62312688589986187</v>
      </c>
      <c r="K37" s="1644">
        <v>0.51525648362902499</v>
      </c>
      <c r="L37" s="1644">
        <v>0.46449632442038935</v>
      </c>
      <c r="M37" s="1644">
        <v>0.44681966449207827</v>
      </c>
      <c r="N37" s="1644">
        <v>0.50496976724923381</v>
      </c>
      <c r="O37" s="1644">
        <v>0.46581255138394079</v>
      </c>
      <c r="P37" s="1644">
        <v>0.4747725392886683</v>
      </c>
      <c r="Q37" s="1644">
        <v>0.49261016017048187</v>
      </c>
      <c r="R37" s="1644">
        <v>0.50816359709222658</v>
      </c>
      <c r="S37" s="1644">
        <v>0.48758568902453797</v>
      </c>
      <c r="T37" s="1644">
        <v>0.50908393039918121</v>
      </c>
      <c r="U37" s="1644">
        <v>0.42895776359769067</v>
      </c>
      <c r="V37" s="1644">
        <v>0.50066884922730315</v>
      </c>
      <c r="W37" s="1644">
        <v>0.47199623302901089</v>
      </c>
      <c r="X37" s="1644">
        <v>0.54935816053039921</v>
      </c>
      <c r="Y37" s="1644">
        <v>0.47939591286772965</v>
      </c>
      <c r="Z37" s="1644">
        <v>0.5137453172971298</v>
      </c>
      <c r="AA37" s="1644">
        <v>0.4690035474693548</v>
      </c>
      <c r="AB37" s="1644">
        <v>0.47459462003718433</v>
      </c>
      <c r="AC37" s="1644">
        <v>0.41749236264890816</v>
      </c>
      <c r="AD37" s="1644">
        <v>0.44344029244516653</v>
      </c>
      <c r="AE37" s="1644">
        <v>0.44040437278344485</v>
      </c>
      <c r="AF37" s="1644">
        <v>0.4510609308942275</v>
      </c>
      <c r="AG37" s="1644">
        <v>0.42422300544697211</v>
      </c>
      <c r="AH37" s="1644">
        <v>0.51723611026220895</v>
      </c>
      <c r="AI37" s="1644">
        <v>0.53841046875272991</v>
      </c>
      <c r="AJ37" s="1644">
        <v>0.56449056603773584</v>
      </c>
      <c r="AK37" s="1644">
        <v>0.57280228921275034</v>
      </c>
      <c r="AL37" s="1644">
        <v>0.49418767227260019</v>
      </c>
      <c r="AM37" s="1644">
        <v>0.81422580900387687</v>
      </c>
      <c r="AN37" s="1644">
        <v>0.56382933378798861</v>
      </c>
      <c r="AO37" s="1644">
        <v>0.55557172799254773</v>
      </c>
      <c r="AP37" s="1644">
        <v>0.51684197345354366</v>
      </c>
      <c r="AQ37" s="1773">
        <v>0.52900000000000003</v>
      </c>
      <c r="AR37" s="1773">
        <v>0.47399999999999998</v>
      </c>
      <c r="AS37" s="1773">
        <v>0.49199999999999999</v>
      </c>
      <c r="AT37" s="1773">
        <v>0.54400000000000004</v>
      </c>
      <c r="AU37" s="1773">
        <v>0.50800000000000001</v>
      </c>
      <c r="AV37" s="1773">
        <v>0.48699999999999999</v>
      </c>
      <c r="AW37" s="1773">
        <v>0.52700000000000002</v>
      </c>
      <c r="AX37" s="1608"/>
      <c r="AY37" s="1644">
        <v>0.51991263251622921</v>
      </c>
      <c r="AZ37" s="1772">
        <v>0.48569543221643813</v>
      </c>
      <c r="BA37" s="1629">
        <v>3.4217200299791086</v>
      </c>
      <c r="BB37" s="1628"/>
      <c r="BC37" s="1633"/>
      <c r="BD37" s="1644">
        <v>0.51991263251622921</v>
      </c>
      <c r="BE37" s="1772">
        <v>0.48569543221643813</v>
      </c>
      <c r="BF37" s="1772">
        <v>0.48508558115733197</v>
      </c>
      <c r="BG37" s="1772">
        <v>0.49467301565551025</v>
      </c>
      <c r="BH37" s="1772">
        <v>0.46998355617160126</v>
      </c>
      <c r="BI37" s="1772">
        <v>0.43115620938201582</v>
      </c>
      <c r="BJ37" s="1772">
        <f>BJ19/BJ15</f>
        <v>0.52445362961127595</v>
      </c>
      <c r="BK37" s="1773">
        <v>0.54556776556776554</v>
      </c>
      <c r="BL37" s="1773">
        <f>BL19/BL15</f>
        <v>0.49803854971554723</v>
      </c>
      <c r="BM37" s="1773">
        <f>BM19/BM15</f>
        <v>0.52591676352352823</v>
      </c>
      <c r="BN37" s="1774">
        <f>BN19/BN15</f>
        <v>0.54668040140891871</v>
      </c>
      <c r="BO37" s="1774">
        <f>BO19/BO15</f>
        <v>0.49978547284923452</v>
      </c>
      <c r="BP37" s="1774">
        <v>0.56799999999999995</v>
      </c>
      <c r="BQ37" s="1603"/>
      <c r="BS37" s="1560"/>
      <c r="BT37" s="1560"/>
      <c r="BU37" s="1560"/>
      <c r="BV37" s="1560"/>
    </row>
    <row r="38" spans="1:74" ht="12.75" customHeight="1" x14ac:dyDescent="0.2">
      <c r="A38" s="1246" t="s">
        <v>207</v>
      </c>
      <c r="B38" s="1631"/>
      <c r="C38" s="1629">
        <v>3.1000853565524622</v>
      </c>
      <c r="D38" s="1628"/>
      <c r="E38" s="1591"/>
      <c r="F38" s="1592" t="e">
        <v>#DIV/0!</v>
      </c>
      <c r="G38" s="1592" t="e">
        <v>#DIV/0!</v>
      </c>
      <c r="H38" s="1592" t="e">
        <v>#DIV/0!</v>
      </c>
      <c r="I38" s="1592">
        <v>0.51384684610979303</v>
      </c>
      <c r="J38" s="1644">
        <v>0.67104792103513522</v>
      </c>
      <c r="K38" s="1644">
        <v>0.56233621494623331</v>
      </c>
      <c r="L38" s="1644">
        <v>0.51732773245011709</v>
      </c>
      <c r="M38" s="1644">
        <v>0.48284599254426841</v>
      </c>
      <c r="N38" s="1644">
        <v>0.53120599685248071</v>
      </c>
      <c r="O38" s="1644">
        <v>0.50301452452726769</v>
      </c>
      <c r="P38" s="1644">
        <v>0.4911331171186859</v>
      </c>
      <c r="Q38" s="1644">
        <v>0.52320065992988241</v>
      </c>
      <c r="R38" s="1644">
        <v>0.53280535104628746</v>
      </c>
      <c r="S38" s="1644">
        <v>0.52144950706101789</v>
      </c>
      <c r="T38" s="1644">
        <v>0.54234902763561921</v>
      </c>
      <c r="U38" s="1644">
        <v>0.46906715284108175</v>
      </c>
      <c r="V38" s="1644">
        <v>0.52481782659203713</v>
      </c>
      <c r="W38" s="1644">
        <v>0.49151123551416537</v>
      </c>
      <c r="X38" s="1644">
        <v>0.61201862039779942</v>
      </c>
      <c r="Y38" s="1644">
        <v>0.52815517628565012</v>
      </c>
      <c r="Z38" s="1644">
        <v>0.5337577106160043</v>
      </c>
      <c r="AA38" s="1644">
        <v>0.4920094130870008</v>
      </c>
      <c r="AB38" s="1644">
        <v>0.49499894095220165</v>
      </c>
      <c r="AC38" s="1644">
        <v>0.44765383807199316</v>
      </c>
      <c r="AD38" s="1644">
        <v>0.45171044318079251</v>
      </c>
      <c r="AE38" s="1644">
        <v>0.44890497605206392</v>
      </c>
      <c r="AF38" s="1644">
        <v>0.47221943937967098</v>
      </c>
      <c r="AG38" s="1644">
        <v>0.44572817912810753</v>
      </c>
      <c r="AH38" s="1644">
        <v>0.53972862294480772</v>
      </c>
      <c r="AI38" s="1644">
        <v>0.55773363383825147</v>
      </c>
      <c r="AJ38" s="1644">
        <v>0.58128301886792455</v>
      </c>
      <c r="AK38" s="1644">
        <v>0.58840753310707394</v>
      </c>
      <c r="AL38" s="1644">
        <v>0.51472056884911921</v>
      </c>
      <c r="AM38" s="1644">
        <v>0.85655510720784878</v>
      </c>
      <c r="AN38" s="1644">
        <v>0.59400707557222621</v>
      </c>
      <c r="AO38" s="1644">
        <v>0.58284816022356778</v>
      </c>
      <c r="AP38" s="1644">
        <v>0.53471700475832706</v>
      </c>
      <c r="AQ38" s="1773">
        <v>0.55900000000000005</v>
      </c>
      <c r="AR38" s="1773">
        <v>0.51</v>
      </c>
      <c r="AS38" s="1773">
        <v>0.51700000000000002</v>
      </c>
      <c r="AT38" s="1773">
        <v>0.56399999999999995</v>
      </c>
      <c r="AU38" s="1773">
        <v>0.53900000000000003</v>
      </c>
      <c r="AV38" s="1773">
        <v>0.51100000000000001</v>
      </c>
      <c r="AW38" s="1773">
        <v>0.55300000000000005</v>
      </c>
      <c r="AX38" s="1608"/>
      <c r="AY38" s="1644">
        <v>0.56543809313617299</v>
      </c>
      <c r="AZ38" s="1772">
        <v>0.51123982696678638</v>
      </c>
      <c r="BA38" s="1629">
        <v>5.4198266169386606</v>
      </c>
      <c r="BB38" s="1628"/>
      <c r="BC38" s="1633"/>
      <c r="BD38" s="1644">
        <v>0.56543809313617299</v>
      </c>
      <c r="BE38" s="1772">
        <v>0.51123982696678638</v>
      </c>
      <c r="BF38" s="1772">
        <v>0.51753370052654968</v>
      </c>
      <c r="BG38" s="1772">
        <v>0.52805903972359391</v>
      </c>
      <c r="BH38" s="1772">
        <v>0.49350425731578179</v>
      </c>
      <c r="BI38" s="1772">
        <v>0.44817145220371024</v>
      </c>
      <c r="BJ38" s="1772">
        <f>(BJ19+BJ20)/BJ15</f>
        <v>0.54969281623597122</v>
      </c>
      <c r="BK38" s="1773">
        <v>0.58048026048026047</v>
      </c>
      <c r="BL38" s="1773">
        <f>(BL19+BL20)/BL15</f>
        <v>0.51592086269848014</v>
      </c>
      <c r="BM38" s="1773">
        <f>(BM19+BM20)/BM15</f>
        <v>0.53576417397980403</v>
      </c>
      <c r="BN38" s="1774">
        <f>(BN19+BN20)/BN15</f>
        <v>0.56272346647172189</v>
      </c>
      <c r="BO38" s="1774">
        <f>(BO19+BO20)/BO15</f>
        <v>0.56988875982377385</v>
      </c>
      <c r="BP38" s="1774">
        <v>0.627</v>
      </c>
      <c r="BQ38" s="1603"/>
      <c r="BS38" s="1560"/>
      <c r="BT38" s="1560"/>
      <c r="BU38" s="1560"/>
      <c r="BV38" s="1560"/>
    </row>
    <row r="39" spans="1:74" ht="12.75" customHeight="1" x14ac:dyDescent="0.2">
      <c r="A39" s="1630" t="s">
        <v>77</v>
      </c>
      <c r="B39" s="1631"/>
      <c r="C39" s="2217">
        <v>-11.080241316254117</v>
      </c>
      <c r="D39" s="1628"/>
      <c r="E39" s="1591"/>
      <c r="F39" s="1592" t="e">
        <v>#DIV/0!</v>
      </c>
      <c r="G39" s="1592" t="e">
        <v>#DIV/0!</v>
      </c>
      <c r="H39" s="1592" t="e">
        <v>#DIV/0!</v>
      </c>
      <c r="I39" s="1592">
        <v>0.18806757751779432</v>
      </c>
      <c r="J39" s="1644">
        <v>0.33276223597401933</v>
      </c>
      <c r="K39" s="1644">
        <v>4.8017711376848702</v>
      </c>
      <c r="L39" s="1644">
        <v>0.36557880281121252</v>
      </c>
      <c r="M39" s="1644">
        <v>0.29886999068033548</v>
      </c>
      <c r="N39" s="1644">
        <v>0.31767166404373393</v>
      </c>
      <c r="O39" s="1644">
        <v>0.4508426966292135</v>
      </c>
      <c r="P39" s="1644">
        <v>0.18054648614920263</v>
      </c>
      <c r="Q39" s="1644">
        <v>0.21320547191860864</v>
      </c>
      <c r="R39" s="1644">
        <v>0.24442018719371994</v>
      </c>
      <c r="S39" s="1644">
        <v>0.2891747208293971</v>
      </c>
      <c r="T39" s="1644">
        <v>0.5165685772773797</v>
      </c>
      <c r="U39" s="1644">
        <v>0.32616226071103011</v>
      </c>
      <c r="V39" s="1644">
        <v>0.18674974478121589</v>
      </c>
      <c r="W39" s="1644">
        <v>0.16122112642896383</v>
      </c>
      <c r="X39" s="1644">
        <v>0.39915361828184509</v>
      </c>
      <c r="Y39" s="1644">
        <v>0.35944868627891308</v>
      </c>
      <c r="Z39" s="1644">
        <v>0.29660873728980647</v>
      </c>
      <c r="AA39" s="1644">
        <v>0.26565628183063467</v>
      </c>
      <c r="AB39" s="1644">
        <v>0.37800946082699866</v>
      </c>
      <c r="AC39" s="1644">
        <v>-0.15635152827840368</v>
      </c>
      <c r="AD39" s="1644">
        <v>0.11547747991696002</v>
      </c>
      <c r="AE39" s="1644">
        <v>0.11728090380607656</v>
      </c>
      <c r="AF39" s="1644">
        <v>0.21737562363501572</v>
      </c>
      <c r="AG39" s="1644">
        <v>0.38620728650319469</v>
      </c>
      <c r="AH39" s="1644">
        <v>0.30658272721716279</v>
      </c>
      <c r="AI39" s="1644">
        <v>0.10480982581197477</v>
      </c>
      <c r="AJ39" s="1644">
        <v>0.15381132075471698</v>
      </c>
      <c r="AK39" s="1644">
        <v>0.14983030545018966</v>
      </c>
      <c r="AL39" s="1644">
        <v>0.11576718731274717</v>
      </c>
      <c r="AM39" s="1644">
        <v>0.8522034971121133</v>
      </c>
      <c r="AN39" s="1644">
        <v>0.28570819658156088</v>
      </c>
      <c r="AO39" s="1644">
        <v>0.21975430833721471</v>
      </c>
      <c r="AP39" s="1644">
        <v>0.22119959929877286</v>
      </c>
      <c r="AQ39" s="1773">
        <v>0.23899999999999999</v>
      </c>
      <c r="AR39" s="1773">
        <v>0.32199999999999995</v>
      </c>
      <c r="AS39" s="1773">
        <v>0.16900000000000004</v>
      </c>
      <c r="AT39" s="1773">
        <v>0.21100000000000008</v>
      </c>
      <c r="AU39" s="1773">
        <v>0.20399999999999996</v>
      </c>
      <c r="AV39" s="1773">
        <v>0.249</v>
      </c>
      <c r="AW39" s="1773">
        <v>0.17899999999999994</v>
      </c>
      <c r="AX39" s="1608"/>
      <c r="AY39" s="1644">
        <v>1.459219628764298</v>
      </c>
      <c r="AZ39" s="1772">
        <v>0.26077180633966324</v>
      </c>
      <c r="BA39" s="1629">
        <v>119.84478224246348</v>
      </c>
      <c r="BB39" s="1628"/>
      <c r="BC39" s="1633"/>
      <c r="BD39" s="1644">
        <v>1.459219628764298</v>
      </c>
      <c r="BE39" s="1772">
        <v>0.26077180633966324</v>
      </c>
      <c r="BF39" s="1772">
        <v>0.33226497165250413</v>
      </c>
      <c r="BG39" s="1772">
        <v>0.24415059436127573</v>
      </c>
      <c r="BH39" s="1772">
        <v>0.28481399533374085</v>
      </c>
      <c r="BI39" s="1772">
        <v>0.19921718066879357</v>
      </c>
      <c r="BJ39" s="1772" t="e">
        <f>(BJ21+BJ22+BJ23+BJ24+BJ25+BJ26+BJ27+BJ28+BJ29+#REF!+BJ30+#REF!)/BJ15</f>
        <v>#REF!</v>
      </c>
      <c r="BK39" s="1773">
        <v>0.32512820512820512</v>
      </c>
      <c r="BL39" s="1773" t="e">
        <f>(BL21+BL22+BL23+BL24+BL25+BL26+BL27+BL28+BL29+#REF!+BL30+#REF!)/BL15</f>
        <v>#REF!</v>
      </c>
      <c r="BM39" s="1773" t="e">
        <f>(BM21+BM22+BM23+BM24+BM25+BM26+BM27+BM28+BM29+#REF!+BM30+#REF!)/BM15</f>
        <v>#REF!</v>
      </c>
      <c r="BN39" s="1774" t="e">
        <f>(BN21+BN22+BN23+BN24+BN25+BN26+BN27+BN28+BN29+#REF!+BN30+#REF!)/BN15</f>
        <v>#REF!</v>
      </c>
      <c r="BO39" s="1774" t="e">
        <f>(BO21+BO22+BO23+BO24+BO25+BO26+BO27+BO28+BO29+#REF!+BO30+#REF!)/BO15</f>
        <v>#REF!</v>
      </c>
      <c r="BP39" s="1774">
        <v>0.10299999999999998</v>
      </c>
      <c r="BQ39" s="1603"/>
      <c r="BS39" s="1560"/>
      <c r="BT39" s="1560"/>
      <c r="BU39" s="1560"/>
      <c r="BV39" s="1560"/>
    </row>
    <row r="40" spans="1:74" ht="12.75" customHeight="1" x14ac:dyDescent="0.2">
      <c r="A40" s="1630" t="s">
        <v>78</v>
      </c>
      <c r="B40" s="1630"/>
      <c r="C40" s="2217">
        <v>-7.9801559597016514</v>
      </c>
      <c r="D40" s="1628"/>
      <c r="E40" s="1591"/>
      <c r="F40" s="1592" t="e">
        <v>#DIV/0!</v>
      </c>
      <c r="G40" s="1592" t="e">
        <v>#DIV/0!</v>
      </c>
      <c r="H40" s="1592" t="e">
        <v>#DIV/0!</v>
      </c>
      <c r="I40" s="1592">
        <v>0.70191442362758738</v>
      </c>
      <c r="J40" s="1644">
        <v>1.0038101570091547</v>
      </c>
      <c r="K40" s="1644">
        <v>5.3641073526311036</v>
      </c>
      <c r="L40" s="1644">
        <v>0.88290653526132967</v>
      </c>
      <c r="M40" s="1644">
        <v>0.78171598322460389</v>
      </c>
      <c r="N40" s="1644">
        <v>0.84887766089621475</v>
      </c>
      <c r="O40" s="1644">
        <v>0.95385722115648119</v>
      </c>
      <c r="P40" s="1644">
        <v>0.6711796032678885</v>
      </c>
      <c r="Q40" s="1644">
        <v>0.73640613184849113</v>
      </c>
      <c r="R40" s="1644">
        <v>0.7772255382400074</v>
      </c>
      <c r="S40" s="1644">
        <v>0.81062422789041499</v>
      </c>
      <c r="T40" s="1644">
        <v>1.0589176049129989</v>
      </c>
      <c r="U40" s="1644">
        <v>0.79522941355211185</v>
      </c>
      <c r="V40" s="1644">
        <v>0.7115675713732531</v>
      </c>
      <c r="W40" s="1644">
        <v>0.65273236194312922</v>
      </c>
      <c r="X40" s="1644">
        <v>1.0111722386796445</v>
      </c>
      <c r="Y40" s="1644">
        <v>0.88760386256456325</v>
      </c>
      <c r="Z40" s="1644">
        <v>0.83036644790581082</v>
      </c>
      <c r="AA40" s="1644">
        <v>0.75766569491763547</v>
      </c>
      <c r="AB40" s="1644">
        <v>0.87300840177920025</v>
      </c>
      <c r="AC40" s="1644">
        <v>0.29130230979358945</v>
      </c>
      <c r="AD40" s="1644">
        <v>0.56718792309775246</v>
      </c>
      <c r="AE40" s="1644">
        <v>0.56618587985814051</v>
      </c>
      <c r="AF40" s="1644">
        <v>0.68959506301468676</v>
      </c>
      <c r="AG40" s="1644">
        <v>0.83193546563130216</v>
      </c>
      <c r="AH40" s="1644">
        <v>0.84631135016197057</v>
      </c>
      <c r="AI40" s="1644">
        <v>0.66254345965022621</v>
      </c>
      <c r="AJ40" s="1644">
        <v>0.73509433962264148</v>
      </c>
      <c r="AK40" s="1644">
        <v>0.73823783855726355</v>
      </c>
      <c r="AL40" s="1644">
        <v>0.63048775616186636</v>
      </c>
      <c r="AM40" s="1644">
        <v>1.7087586043199621</v>
      </c>
      <c r="AN40" s="1644">
        <v>0.87971527215378709</v>
      </c>
      <c r="AO40" s="1644">
        <v>0.80260246856078243</v>
      </c>
      <c r="AP40" s="1644">
        <v>0.75591660405709993</v>
      </c>
      <c r="AQ40" s="1773">
        <v>0.79800000000000004</v>
      </c>
      <c r="AR40" s="1773">
        <v>0.83199999999999996</v>
      </c>
      <c r="AS40" s="1773">
        <v>0.68600000000000005</v>
      </c>
      <c r="AT40" s="1773">
        <v>0.77500000000000002</v>
      </c>
      <c r="AU40" s="1773">
        <v>0.74299999999999999</v>
      </c>
      <c r="AV40" s="1773">
        <v>0.76</v>
      </c>
      <c r="AW40" s="1773">
        <v>0.73199999999999998</v>
      </c>
      <c r="AX40" s="1608"/>
      <c r="AY40" s="1644">
        <v>2.0246577219004709</v>
      </c>
      <c r="AZ40" s="1772">
        <v>0.77201163330644962</v>
      </c>
      <c r="BA40" s="1629">
        <v>125.26460885940213</v>
      </c>
      <c r="BB40" s="1628"/>
      <c r="BC40" s="1633"/>
      <c r="BD40" s="1644">
        <v>2.0246577219004709</v>
      </c>
      <c r="BE40" s="1772">
        <v>0.77201163330644962</v>
      </c>
      <c r="BF40" s="1772">
        <v>0.8497986721790538</v>
      </c>
      <c r="BG40" s="1772">
        <v>0.77220963408486964</v>
      </c>
      <c r="BH40" s="1772">
        <v>0.77831825264952259</v>
      </c>
      <c r="BI40" s="1772">
        <v>0.64738863287250381</v>
      </c>
      <c r="BJ40" s="1772">
        <f>BJ31/BJ15</f>
        <v>0.73009499890190954</v>
      </c>
      <c r="BK40" s="1773">
        <v>0.90560846560846564</v>
      </c>
      <c r="BL40" s="1773">
        <f>BL31/BL15</f>
        <v>0.68007132546488924</v>
      </c>
      <c r="BM40" s="1773">
        <f>BM31/BM15</f>
        <v>0.66735799362344184</v>
      </c>
      <c r="BN40" s="1774">
        <f>BN31/BN15</f>
        <v>0.70103675151192923</v>
      </c>
      <c r="BO40" s="1774">
        <f>BO31/BO15</f>
        <v>0.70568967862786336</v>
      </c>
      <c r="BP40" s="1774">
        <v>0.73</v>
      </c>
      <c r="BQ40" s="1603"/>
      <c r="BS40" s="1560"/>
      <c r="BT40" s="1560"/>
      <c r="BU40" s="1560"/>
      <c r="BV40" s="1560"/>
    </row>
    <row r="41" spans="1:74" ht="12.75" customHeight="1" x14ac:dyDescent="0.2">
      <c r="A41" s="1630" t="s">
        <v>178</v>
      </c>
      <c r="B41" s="1630"/>
      <c r="C41" s="2217">
        <v>7.9801559597016594</v>
      </c>
      <c r="D41" s="1628"/>
      <c r="E41" s="1591"/>
      <c r="F41" s="1592" t="e">
        <v>#DIV/0!</v>
      </c>
      <c r="G41" s="1592" t="e">
        <v>#DIV/0!</v>
      </c>
      <c r="H41" s="1592" t="e">
        <v>#DIV/0!</v>
      </c>
      <c r="I41" s="1592">
        <v>0.29808557637241268</v>
      </c>
      <c r="J41" s="1644">
        <v>-3.8101570091546052E-3</v>
      </c>
      <c r="K41" s="1644">
        <v>-4.3641073526311036</v>
      </c>
      <c r="L41" s="1644">
        <v>0.11709346473867033</v>
      </c>
      <c r="M41" s="1644">
        <v>0.21828401677539608</v>
      </c>
      <c r="N41" s="1644">
        <v>0.15112233910378531</v>
      </c>
      <c r="O41" s="1644">
        <v>4.6142778843518771E-2</v>
      </c>
      <c r="P41" s="1644">
        <v>0.3288203967321115</v>
      </c>
      <c r="Q41" s="1644">
        <v>0.26359386815150893</v>
      </c>
      <c r="R41" s="1644">
        <v>0.22277446175999258</v>
      </c>
      <c r="S41" s="1644">
        <v>0.18937577210958506</v>
      </c>
      <c r="T41" s="1644">
        <v>-5.8917604912998973E-2</v>
      </c>
      <c r="U41" s="1644">
        <v>0.20477058644788818</v>
      </c>
      <c r="V41" s="1644">
        <v>0.28843242862674695</v>
      </c>
      <c r="W41" s="1644">
        <v>0.34728071781724956</v>
      </c>
      <c r="X41" s="1644">
        <v>-1.117223867964452E-2</v>
      </c>
      <c r="Y41" s="1644">
        <v>0.11239613743543679</v>
      </c>
      <c r="Z41" s="1644">
        <v>0.16963355209418923</v>
      </c>
      <c r="AA41" s="1644">
        <v>0.2423343050823645</v>
      </c>
      <c r="AB41" s="1644">
        <v>0.1269915982207997</v>
      </c>
      <c r="AC41" s="1644">
        <v>0.70869769020641049</v>
      </c>
      <c r="AD41" s="1644">
        <v>0.43281207690224749</v>
      </c>
      <c r="AE41" s="1644">
        <v>0.43381412014185955</v>
      </c>
      <c r="AF41" s="1644">
        <v>0.3104049369853133</v>
      </c>
      <c r="AG41" s="1644">
        <v>0.16806453436869781</v>
      </c>
      <c r="AH41" s="1644">
        <v>0.15368864983802946</v>
      </c>
      <c r="AI41" s="1644">
        <v>0.33745654034977374</v>
      </c>
      <c r="AJ41" s="1644">
        <v>0.26490566037735847</v>
      </c>
      <c r="AK41" s="1644">
        <v>0.2617621614427364</v>
      </c>
      <c r="AL41" s="1644">
        <v>0.36951224383813364</v>
      </c>
      <c r="AM41" s="1644">
        <v>-0.70875860431996207</v>
      </c>
      <c r="AN41" s="1644">
        <v>0.12028472784621286</v>
      </c>
      <c r="AO41" s="1644">
        <v>0.19739753143921751</v>
      </c>
      <c r="AP41" s="1644">
        <v>0.24408339594290007</v>
      </c>
      <c r="AQ41" s="1773">
        <v>0.20199999999999996</v>
      </c>
      <c r="AR41" s="1773">
        <v>0.16800000000000004</v>
      </c>
      <c r="AS41" s="1773">
        <v>0.31399999999999995</v>
      </c>
      <c r="AT41" s="1773">
        <v>0.22500000000000001</v>
      </c>
      <c r="AU41" s="1773">
        <v>0.25700000000000001</v>
      </c>
      <c r="AV41" s="1773">
        <v>0.24</v>
      </c>
      <c r="AW41" s="1773">
        <v>0.26800000000000002</v>
      </c>
      <c r="AX41" s="1608"/>
      <c r="AY41" s="1644">
        <v>-1.0246577219004711</v>
      </c>
      <c r="AZ41" s="1772">
        <v>0.22798836669355035</v>
      </c>
      <c r="BA41" s="1629">
        <v>-125.26460885940213</v>
      </c>
      <c r="BB41" s="1628"/>
      <c r="BC41" s="1633"/>
      <c r="BD41" s="1644">
        <v>-1.0246577219004711</v>
      </c>
      <c r="BE41" s="1772">
        <v>0.22798836669355035</v>
      </c>
      <c r="BF41" s="1772">
        <v>0.15020132782094617</v>
      </c>
      <c r="BG41" s="1772">
        <v>0.22779036591513041</v>
      </c>
      <c r="BH41" s="1772">
        <v>0.22168174735047738</v>
      </c>
      <c r="BI41" s="1772">
        <v>0.35261136712749613</v>
      </c>
      <c r="BJ41" s="1772">
        <f>BJ32/BJ15</f>
        <v>0.26990500109809046</v>
      </c>
      <c r="BK41" s="1773">
        <v>9.4391534391534387E-2</v>
      </c>
      <c r="BL41" s="1773">
        <f>BL32/BL15</f>
        <v>0.31992867453511081</v>
      </c>
      <c r="BM41" s="1773">
        <f>BM32/BM15</f>
        <v>0.33264200637655816</v>
      </c>
      <c r="BN41" s="1774">
        <f>BN32/BN15</f>
        <v>0.29896324848807071</v>
      </c>
      <c r="BO41" s="1774">
        <f>BO32/BO15</f>
        <v>0.29431032137213659</v>
      </c>
      <c r="BP41" s="1774">
        <v>0.27</v>
      </c>
      <c r="BQ41" s="1603"/>
      <c r="BS41" s="1560"/>
      <c r="BT41" s="1560"/>
      <c r="BU41" s="1560"/>
      <c r="BV41" s="1560"/>
    </row>
    <row r="42" spans="1:74" ht="12.75" customHeight="1" x14ac:dyDescent="0.2">
      <c r="A42" s="1630" t="s">
        <v>79</v>
      </c>
      <c r="B42" s="1630"/>
      <c r="C42" s="2217">
        <v>11.708357481377254</v>
      </c>
      <c r="D42" s="1628"/>
      <c r="E42" s="1591"/>
      <c r="F42" s="1592" t="e">
        <v>#DIV/0!</v>
      </c>
      <c r="G42" s="1592" t="e">
        <v>#DIV/0!</v>
      </c>
      <c r="H42" s="1592" t="e">
        <v>#DIV/0!</v>
      </c>
      <c r="I42" s="1592">
        <v>0.25431563445962529</v>
      </c>
      <c r="J42" s="1644">
        <v>-9.5944356364752209E-2</v>
      </c>
      <c r="K42" s="1644">
        <v>-4.4466399590349104</v>
      </c>
      <c r="L42" s="1644">
        <v>-1.9791582518781806E-3</v>
      </c>
      <c r="M42" s="1644">
        <v>0.13723205964585275</v>
      </c>
      <c r="N42" s="1644">
        <v>9.9064027168060967E-2</v>
      </c>
      <c r="O42" s="1644">
        <v>-2.1786790901616882E-2</v>
      </c>
      <c r="P42" s="1644">
        <v>0.2875364590135388</v>
      </c>
      <c r="Q42" s="1644">
        <v>0.22636969821956418</v>
      </c>
      <c r="R42" s="1644">
        <v>0.15240262907308916</v>
      </c>
      <c r="S42" s="1644">
        <v>0.12261705786885643</v>
      </c>
      <c r="T42" s="1644">
        <v>-0.11559621289662231</v>
      </c>
      <c r="U42" s="1644">
        <v>0.13302947432391371</v>
      </c>
      <c r="V42" s="1644">
        <v>0.24831907628401451</v>
      </c>
      <c r="W42" s="1644">
        <v>0.31339105867580508</v>
      </c>
      <c r="X42" s="1644">
        <v>-8.2211877556778112E-2</v>
      </c>
      <c r="Y42" s="1644">
        <v>3.0597350101055468E-2</v>
      </c>
      <c r="Z42" s="1644">
        <v>0.1258766864771991</v>
      </c>
      <c r="AA42" s="1644">
        <v>0.19641038249446804</v>
      </c>
      <c r="AB42" s="1644">
        <v>5.3940834529665103E-2</v>
      </c>
      <c r="AC42" s="1644">
        <v>0.65954386021627043</v>
      </c>
      <c r="AD42" s="1644">
        <v>0.41521121039805037</v>
      </c>
      <c r="AE42" s="1644">
        <v>0.41739790135644034</v>
      </c>
      <c r="AF42" s="1644">
        <v>0.27287663547656738</v>
      </c>
      <c r="AG42" s="1644">
        <v>0.13525076804191719</v>
      </c>
      <c r="AH42" s="1644">
        <v>9.9993887904162332E-2</v>
      </c>
      <c r="AI42" s="1644">
        <v>0.31154672676765027</v>
      </c>
      <c r="AJ42" s="1644">
        <v>0.2130566037735849</v>
      </c>
      <c r="AK42" s="1644">
        <v>0.21321621082052306</v>
      </c>
      <c r="AL42" s="1644">
        <v>0.28066951623856512</v>
      </c>
      <c r="AM42" s="1644">
        <v>-0.76184824748793423</v>
      </c>
      <c r="AN42" s="1644">
        <v>1.9479135586718384E-2</v>
      </c>
      <c r="AO42" s="1644">
        <v>0.15710875640428504</v>
      </c>
      <c r="AP42" s="1644">
        <v>0.21625344352617079</v>
      </c>
      <c r="AQ42" s="1775" t="s">
        <v>177</v>
      </c>
      <c r="AR42" s="1775" t="s">
        <v>177</v>
      </c>
      <c r="AS42" s="1628"/>
      <c r="AT42" s="1628"/>
      <c r="AU42" s="1628"/>
      <c r="AV42" s="1628"/>
      <c r="AW42" s="1628"/>
      <c r="AX42" s="1776"/>
      <c r="AY42" s="1644">
        <v>-1.1165457880196958</v>
      </c>
      <c r="AZ42" s="1772">
        <v>0.18151379622161937</v>
      </c>
      <c r="BA42" s="1629">
        <v>-129.80595842413152</v>
      </c>
      <c r="BB42" s="1628"/>
      <c r="BC42" s="1777"/>
      <c r="BD42" s="1644">
        <v>-1.1165457880196958</v>
      </c>
      <c r="BE42" s="1772">
        <v>0.18151379622161937</v>
      </c>
      <c r="BF42" s="1772">
        <v>8.3413011567932988E-2</v>
      </c>
      <c r="BG42" s="1772">
        <v>0.17737365234881591</v>
      </c>
      <c r="BH42" s="1772">
        <v>0.17059826263635033</v>
      </c>
      <c r="BI42" s="1772">
        <v>0.32040352120997284</v>
      </c>
      <c r="BJ42" s="1772">
        <f>BJ33/BJ15</f>
        <v>0.21599720690839674</v>
      </c>
      <c r="BK42" s="1773">
        <v>9.4391534391534387E-2</v>
      </c>
      <c r="BL42" s="1773" t="e">
        <f>BL33/BL15</f>
        <v>#REF!</v>
      </c>
      <c r="BM42" s="1773" t="e">
        <f>BM33/BM15</f>
        <v>#REF!</v>
      </c>
      <c r="BN42" s="1774" t="e">
        <f>BN33/BN15</f>
        <v>#REF!</v>
      </c>
      <c r="BO42" s="1774" t="e">
        <f>BO33/BO15</f>
        <v>#REF!</v>
      </c>
      <c r="BP42" s="1774"/>
      <c r="BQ42" s="1603"/>
      <c r="BS42" s="1560"/>
      <c r="BT42" s="1560"/>
      <c r="BU42" s="1560"/>
      <c r="BV42" s="1560"/>
    </row>
    <row r="43" spans="1:74" ht="12.75" customHeight="1" x14ac:dyDescent="0.2">
      <c r="A43" s="1631"/>
      <c r="B43" s="1631"/>
      <c r="C43" s="1629"/>
      <c r="D43" s="1628"/>
      <c r="E43" s="1591"/>
      <c r="F43" s="1591"/>
      <c r="G43" s="1591"/>
      <c r="H43" s="1591"/>
      <c r="I43" s="1591"/>
      <c r="J43" s="1628"/>
      <c r="K43" s="1628"/>
      <c r="L43" s="1628"/>
      <c r="M43" s="1628"/>
      <c r="N43" s="1248"/>
      <c r="O43" s="1628"/>
      <c r="P43" s="1628"/>
      <c r="Q43" s="1628"/>
      <c r="R43" s="1248"/>
      <c r="S43" s="1628"/>
      <c r="T43" s="1628"/>
      <c r="U43" s="1628"/>
      <c r="V43" s="1628"/>
      <c r="W43" s="1628"/>
      <c r="X43" s="1628"/>
      <c r="Y43" s="1628"/>
      <c r="Z43" s="1628"/>
      <c r="AA43" s="1628"/>
      <c r="AB43" s="1628"/>
      <c r="AC43" s="1628"/>
      <c r="AD43" s="1628"/>
      <c r="AE43" s="1628"/>
      <c r="AF43" s="1628"/>
      <c r="AG43" s="1628"/>
      <c r="AH43" s="1628"/>
      <c r="AI43" s="1628"/>
      <c r="AJ43" s="1628"/>
      <c r="AK43" s="1628"/>
      <c r="AL43" s="1628"/>
      <c r="AM43" s="1628"/>
      <c r="AN43" s="1628"/>
      <c r="AO43" s="1772"/>
      <c r="AP43" s="1772"/>
      <c r="AQ43" s="1635"/>
      <c r="AR43" s="1635"/>
      <c r="AS43" s="1635"/>
      <c r="AT43" s="1772"/>
      <c r="AU43" s="1772"/>
      <c r="AV43" s="1772"/>
      <c r="AW43" s="1772"/>
      <c r="AX43" s="1633"/>
      <c r="AY43" s="1633"/>
      <c r="AZ43" s="1633"/>
      <c r="BA43" s="1701"/>
      <c r="BB43" s="1628"/>
      <c r="BC43" s="1633"/>
      <c r="BD43" s="1633"/>
      <c r="BE43" s="1773"/>
      <c r="BF43" s="1773"/>
      <c r="BG43" s="1773"/>
      <c r="BH43" s="1773"/>
      <c r="BI43" s="1773"/>
      <c r="BJ43" s="1773"/>
      <c r="BK43" s="1773"/>
      <c r="BL43" s="1773"/>
      <c r="BM43" s="1644"/>
      <c r="BN43" s="1778"/>
      <c r="BO43" s="1778"/>
      <c r="BP43" s="1778"/>
      <c r="BQ43" s="1603"/>
      <c r="BS43" s="1560"/>
      <c r="BT43" s="1560"/>
      <c r="BU43" s="1560"/>
      <c r="BV43" s="1560"/>
    </row>
    <row r="44" spans="1:74" ht="12.75" customHeight="1" x14ac:dyDescent="0.2">
      <c r="A44" s="1631" t="s">
        <v>88</v>
      </c>
      <c r="B44" s="1631"/>
      <c r="C44" s="1632">
        <v>-16</v>
      </c>
      <c r="D44" s="1628">
        <v>-8.2901554404145081E-2</v>
      </c>
      <c r="E44" s="1591"/>
      <c r="F44" s="1195">
        <v>0</v>
      </c>
      <c r="G44" s="1195">
        <v>0</v>
      </c>
      <c r="H44" s="1195">
        <v>0</v>
      </c>
      <c r="I44" s="1195">
        <v>177</v>
      </c>
      <c r="J44" s="1248">
        <v>180</v>
      </c>
      <c r="K44" s="1248">
        <v>188</v>
      </c>
      <c r="L44" s="1248">
        <v>190</v>
      </c>
      <c r="M44" s="1248">
        <v>193</v>
      </c>
      <c r="N44" s="1248">
        <v>201</v>
      </c>
      <c r="O44" s="1248">
        <v>206</v>
      </c>
      <c r="P44" s="1248">
        <v>208</v>
      </c>
      <c r="Q44" s="1248">
        <v>215</v>
      </c>
      <c r="R44" s="1248">
        <v>215</v>
      </c>
      <c r="S44" s="1248">
        <v>214</v>
      </c>
      <c r="T44" s="1248">
        <v>215</v>
      </c>
      <c r="U44" s="1248">
        <v>221</v>
      </c>
      <c r="V44" s="1248">
        <v>222</v>
      </c>
      <c r="W44" s="1248">
        <v>224</v>
      </c>
      <c r="X44" s="1248">
        <v>225</v>
      </c>
      <c r="Y44" s="1248">
        <v>239</v>
      </c>
      <c r="Z44" s="1248">
        <v>247</v>
      </c>
      <c r="AA44" s="1248">
        <v>262</v>
      </c>
      <c r="AB44" s="1248">
        <v>266</v>
      </c>
      <c r="AC44" s="1248"/>
      <c r="AD44" s="1248"/>
      <c r="AE44" s="1248"/>
      <c r="AF44" s="1248"/>
      <c r="AG44" s="1248"/>
      <c r="AH44" s="1248"/>
      <c r="AI44" s="1248"/>
      <c r="AJ44" s="1248"/>
      <c r="AK44" s="1248"/>
      <c r="AL44" s="1248"/>
      <c r="AM44" s="1248"/>
      <c r="AN44" s="1248"/>
      <c r="AO44" s="1294"/>
      <c r="AP44" s="1294"/>
      <c r="AQ44" s="1295"/>
      <c r="AR44" s="1295"/>
      <c r="AS44" s="1295"/>
      <c r="AT44" s="1294"/>
      <c r="AU44" s="1294"/>
      <c r="AV44" s="1294"/>
      <c r="AW44" s="1294"/>
      <c r="AX44" s="1633"/>
      <c r="AY44" s="1294">
        <v>180</v>
      </c>
      <c r="AZ44" s="1294">
        <v>201</v>
      </c>
      <c r="BA44" s="1701">
        <v>-21</v>
      </c>
      <c r="BB44" s="1628">
        <v>-0.1044776119402985</v>
      </c>
      <c r="BC44" s="1633"/>
      <c r="BD44" s="1294">
        <v>180</v>
      </c>
      <c r="BE44" s="1322">
        <v>201</v>
      </c>
      <c r="BF44" s="1322">
        <v>215</v>
      </c>
      <c r="BG44" s="1322">
        <v>222</v>
      </c>
      <c r="BH44" s="1322">
        <v>247</v>
      </c>
      <c r="BI44" s="1322">
        <v>268</v>
      </c>
      <c r="BJ44" s="1322">
        <v>203</v>
      </c>
      <c r="BK44" s="1322">
        <v>209</v>
      </c>
      <c r="BL44" s="1773"/>
      <c r="BM44" s="1644"/>
      <c r="BN44" s="1778"/>
      <c r="BO44" s="1778"/>
      <c r="BP44" s="1778"/>
      <c r="BQ44" s="1603"/>
      <c r="BS44" s="1560"/>
      <c r="BT44" s="1560"/>
      <c r="BU44" s="1560"/>
      <c r="BV44" s="1560"/>
    </row>
    <row r="45" spans="1:74" x14ac:dyDescent="0.2">
      <c r="A45" s="1608"/>
      <c r="B45" s="1608"/>
      <c r="C45" s="1633"/>
      <c r="D45" s="1633"/>
      <c r="E45" s="1573"/>
      <c r="F45" s="1573"/>
      <c r="G45" s="1573"/>
      <c r="H45" s="1573"/>
      <c r="I45" s="1573"/>
      <c r="J45" s="1633"/>
      <c r="K45" s="1633"/>
      <c r="L45" s="1633"/>
      <c r="M45" s="1633"/>
      <c r="N45" s="1633"/>
      <c r="O45" s="1633"/>
      <c r="P45" s="1633"/>
      <c r="Q45" s="1633"/>
      <c r="R45" s="1633"/>
      <c r="S45" s="1633"/>
      <c r="T45" s="1633"/>
      <c r="U45" s="1633"/>
      <c r="V45" s="1633"/>
      <c r="W45" s="1633"/>
      <c r="X45" s="1633"/>
      <c r="Y45" s="1633"/>
      <c r="Z45" s="1633"/>
      <c r="AA45" s="1633"/>
      <c r="AB45" s="1633"/>
      <c r="AC45" s="1633"/>
      <c r="AD45" s="1633"/>
      <c r="AE45" s="1633"/>
      <c r="AF45" s="1633"/>
      <c r="AG45" s="1633"/>
      <c r="AH45" s="1633"/>
      <c r="AI45" s="1633"/>
      <c r="AJ45" s="1633"/>
      <c r="AK45" s="1633"/>
      <c r="AL45" s="1633"/>
      <c r="AM45" s="1633"/>
      <c r="AN45" s="1633"/>
      <c r="AO45" s="1633"/>
      <c r="AP45" s="1633"/>
      <c r="AQ45" s="1633"/>
      <c r="AR45" s="1633"/>
      <c r="AS45" s="1633"/>
      <c r="AT45" s="1633"/>
      <c r="AU45" s="1633"/>
      <c r="AV45" s="1633"/>
      <c r="AW45" s="1633"/>
      <c r="AX45" s="1633"/>
      <c r="AY45" s="1633"/>
      <c r="AZ45" s="1633"/>
      <c r="BA45" s="1688"/>
      <c r="BB45" s="1688"/>
      <c r="BC45" s="1633"/>
      <c r="BD45" s="1633"/>
      <c r="BE45" s="1633"/>
      <c r="BF45" s="1633"/>
      <c r="BG45" s="1633"/>
      <c r="BH45" s="1633"/>
      <c r="BI45" s="1697"/>
      <c r="BJ45" s="1633"/>
      <c r="BK45" s="1633"/>
      <c r="BL45" s="1633"/>
      <c r="BM45" s="1633"/>
      <c r="BN45" s="1779"/>
      <c r="BO45" s="1779"/>
      <c r="BP45" s="1779"/>
      <c r="BQ45" s="1603"/>
      <c r="BS45" s="1560"/>
      <c r="BT45" s="1560"/>
      <c r="BU45" s="1560"/>
      <c r="BV45" s="1560"/>
    </row>
    <row r="46" spans="1:74" ht="15" x14ac:dyDescent="0.2">
      <c r="A46" s="1634" t="s">
        <v>252</v>
      </c>
      <c r="B46" s="1608"/>
      <c r="C46" s="1635"/>
      <c r="D46" s="1635"/>
      <c r="E46" s="1573"/>
      <c r="F46" s="1573"/>
      <c r="G46" s="1573"/>
      <c r="H46" s="1573"/>
      <c r="I46" s="1573"/>
      <c r="J46" s="1633"/>
      <c r="K46" s="1633"/>
      <c r="L46" s="1633"/>
      <c r="M46" s="1633"/>
      <c r="N46" s="1633"/>
      <c r="O46" s="1633"/>
      <c r="P46" s="1633"/>
      <c r="Q46" s="1633"/>
      <c r="R46" s="1633"/>
      <c r="S46" s="1633"/>
      <c r="T46" s="1633"/>
      <c r="U46" s="1633"/>
      <c r="V46" s="1633"/>
      <c r="W46" s="1633"/>
      <c r="X46" s="1633"/>
      <c r="Y46" s="1633"/>
      <c r="Z46" s="1633"/>
      <c r="AA46" s="1633"/>
      <c r="AB46" s="1633"/>
      <c r="AC46" s="1633"/>
      <c r="AD46" s="1633"/>
      <c r="AE46" s="1633"/>
      <c r="AF46" s="1633"/>
      <c r="AG46" s="1633"/>
      <c r="AH46" s="1633"/>
      <c r="AI46" s="1633"/>
      <c r="AJ46" s="1633"/>
      <c r="AK46" s="1633"/>
      <c r="AL46" s="1633"/>
      <c r="AM46" s="1633"/>
      <c r="AN46" s="1633"/>
      <c r="AO46" s="1633"/>
      <c r="AP46" s="1633"/>
      <c r="AQ46" s="1633"/>
      <c r="AR46" s="1635"/>
      <c r="AS46" s="1635"/>
      <c r="AT46" s="1635"/>
      <c r="AU46" s="1635"/>
      <c r="AV46" s="1635"/>
      <c r="AW46" s="1635"/>
      <c r="AX46" s="1635"/>
      <c r="AY46" s="1635"/>
      <c r="AZ46" s="1635"/>
      <c r="BA46" s="1688"/>
      <c r="BB46" s="1688"/>
      <c r="BC46" s="1635"/>
      <c r="BD46" s="1635"/>
      <c r="BE46" s="1635"/>
      <c r="BF46" s="1635"/>
      <c r="BG46" s="1635"/>
      <c r="BH46" s="1635"/>
      <c r="BI46" s="1635"/>
      <c r="BJ46" s="1635"/>
      <c r="BK46" s="1698"/>
      <c r="BL46" s="1635"/>
      <c r="BM46" s="1635"/>
      <c r="BN46" s="1780"/>
      <c r="BO46" s="1780"/>
      <c r="BP46" s="1780"/>
      <c r="BQ46" s="1603"/>
      <c r="BS46" s="1560"/>
      <c r="BT46" s="1560"/>
      <c r="BU46" s="1560"/>
      <c r="BV46" s="1560"/>
    </row>
    <row r="47" spans="1:74" x14ac:dyDescent="0.2">
      <c r="A47" s="1636"/>
      <c r="B47" s="1608"/>
      <c r="C47" s="1635"/>
      <c r="D47" s="1635"/>
      <c r="E47" s="1573"/>
      <c r="F47" s="1573"/>
      <c r="G47" s="2334"/>
      <c r="H47" s="2334"/>
      <c r="I47" s="1573"/>
      <c r="J47" s="1633"/>
      <c r="K47" s="1781"/>
      <c r="L47" s="1781"/>
      <c r="M47" s="1633"/>
      <c r="N47" s="1633"/>
      <c r="O47" s="1781"/>
      <c r="P47" s="1781"/>
      <c r="Q47" s="1633"/>
      <c r="R47" s="1633"/>
      <c r="S47" s="1781"/>
      <c r="T47" s="1781"/>
      <c r="U47" s="1633"/>
      <c r="V47" s="1633"/>
      <c r="W47" s="1781"/>
      <c r="X47" s="1781"/>
      <c r="Y47" s="1633"/>
      <c r="Z47" s="1633"/>
      <c r="AA47" s="1633"/>
      <c r="AB47" s="1781"/>
      <c r="AC47" s="1633"/>
      <c r="AD47" s="1781"/>
      <c r="AE47" s="1633"/>
      <c r="AF47" s="1781"/>
      <c r="AG47" s="1633"/>
      <c r="AH47" s="1781"/>
      <c r="AI47" s="1633"/>
      <c r="AJ47" s="1781"/>
      <c r="AK47" s="1633"/>
      <c r="AL47" s="1781"/>
      <c r="AM47" s="1633"/>
      <c r="AN47" s="1633"/>
      <c r="AO47" s="1633"/>
      <c r="AP47" s="1633"/>
      <c r="AQ47" s="1633"/>
      <c r="AR47" s="1635"/>
      <c r="AS47" s="1635"/>
      <c r="AT47" s="1635"/>
      <c r="AU47" s="1635"/>
      <c r="AV47" s="1635"/>
      <c r="AW47" s="1635"/>
      <c r="AX47" s="1635"/>
      <c r="AY47" s="1635"/>
      <c r="AZ47" s="1635"/>
      <c r="BA47" s="1688"/>
      <c r="BB47" s="1688"/>
      <c r="BC47" s="1635"/>
      <c r="BD47" s="1635"/>
      <c r="BE47" s="1635"/>
      <c r="BF47" s="1635"/>
      <c r="BG47" s="1635"/>
      <c r="BH47" s="1635"/>
      <c r="BI47" s="1635"/>
      <c r="BJ47" s="1635"/>
      <c r="BK47" s="1635"/>
      <c r="BL47" s="1635"/>
      <c r="BM47" s="1635"/>
      <c r="BN47" s="1780"/>
      <c r="BO47" s="1780"/>
      <c r="BP47" s="1780"/>
      <c r="BQ47" s="1603"/>
      <c r="BS47" s="1560"/>
      <c r="BT47" s="1560"/>
      <c r="BU47" s="1560"/>
      <c r="BV47" s="1560"/>
    </row>
    <row r="48" spans="1:74" ht="12.75" customHeight="1" x14ac:dyDescent="0.2">
      <c r="A48" s="1607"/>
      <c r="B48" s="1608"/>
      <c r="C48" s="2476" t="s">
        <v>456</v>
      </c>
      <c r="D48" s="2477"/>
      <c r="E48" s="1565"/>
      <c r="F48" s="1566"/>
      <c r="G48" s="1566"/>
      <c r="I48" s="2321"/>
      <c r="J48" s="1659"/>
      <c r="K48" s="1659"/>
      <c r="M48" s="1658"/>
      <c r="N48" s="1659"/>
      <c r="O48" s="1659"/>
      <c r="Q48" s="1658"/>
      <c r="R48" s="1659"/>
      <c r="S48" s="1659"/>
      <c r="U48" s="1658"/>
      <c r="V48" s="1659"/>
      <c r="W48" s="1659"/>
      <c r="Y48" s="1658"/>
      <c r="Z48" s="1659"/>
      <c r="AA48" s="1659"/>
      <c r="AC48" s="1658"/>
      <c r="AD48" s="1659"/>
      <c r="AE48" s="1659"/>
      <c r="AG48" s="1658"/>
      <c r="AH48" s="1659"/>
      <c r="AI48" s="1659"/>
      <c r="AK48" s="1658"/>
      <c r="AM48" s="1659"/>
      <c r="AN48" s="1659"/>
      <c r="AO48" s="1658"/>
      <c r="AP48" s="1659"/>
      <c r="AQ48" s="1659"/>
      <c r="AR48" s="1659"/>
      <c r="AS48" s="1659"/>
      <c r="AT48" s="1660"/>
      <c r="AU48" s="1658"/>
      <c r="AV48" s="1658"/>
      <c r="AW48" s="1658"/>
      <c r="AX48" s="1661"/>
      <c r="AY48" s="2476" t="s">
        <v>448</v>
      </c>
      <c r="AZ48" s="2477"/>
      <c r="BA48" s="1006" t="s">
        <v>441</v>
      </c>
      <c r="BB48" s="1007"/>
      <c r="BC48" s="1662"/>
      <c r="BD48" s="1663"/>
      <c r="BE48" s="1663"/>
      <c r="BF48" s="1663"/>
      <c r="BG48" s="1663"/>
      <c r="BH48" s="1663"/>
      <c r="BI48" s="1663"/>
      <c r="BJ48" s="1663"/>
      <c r="BK48" s="1663"/>
      <c r="BL48" s="1782"/>
      <c r="BM48" s="1783"/>
      <c r="BN48" s="1663"/>
      <c r="BO48" s="1663"/>
      <c r="BP48" s="1663"/>
      <c r="BQ48" s="1666"/>
      <c r="BS48" s="1560"/>
      <c r="BT48" s="1560"/>
      <c r="BU48" s="1560"/>
      <c r="BV48" s="1560"/>
    </row>
    <row r="49" spans="1:74" ht="12.75" customHeight="1" x14ac:dyDescent="0.2">
      <c r="A49" s="1607" t="s">
        <v>2</v>
      </c>
      <c r="B49" s="1608"/>
      <c r="C49" s="2478" t="s">
        <v>39</v>
      </c>
      <c r="D49" s="2479"/>
      <c r="E49" s="1568"/>
      <c r="F49" s="925" t="s">
        <v>452</v>
      </c>
      <c r="G49" s="925" t="s">
        <v>453</v>
      </c>
      <c r="H49" s="925" t="s">
        <v>454</v>
      </c>
      <c r="I49" s="2281" t="s">
        <v>455</v>
      </c>
      <c r="J49" s="1010" t="s">
        <v>399</v>
      </c>
      <c r="K49" s="1010" t="s">
        <v>398</v>
      </c>
      <c r="L49" s="1010" t="s">
        <v>397</v>
      </c>
      <c r="M49" s="1011" t="s">
        <v>395</v>
      </c>
      <c r="N49" s="1010" t="s">
        <v>373</v>
      </c>
      <c r="O49" s="1010" t="s">
        <v>374</v>
      </c>
      <c r="P49" s="1010" t="s">
        <v>375</v>
      </c>
      <c r="Q49" s="1011" t="s">
        <v>376</v>
      </c>
      <c r="R49" s="1667" t="s">
        <v>330</v>
      </c>
      <c r="S49" s="1667" t="s">
        <v>329</v>
      </c>
      <c r="T49" s="1667" t="s">
        <v>328</v>
      </c>
      <c r="U49" s="1668" t="s">
        <v>326</v>
      </c>
      <c r="V49" s="1667" t="s">
        <v>282</v>
      </c>
      <c r="W49" s="1667" t="s">
        <v>283</v>
      </c>
      <c r="X49" s="1667" t="s">
        <v>284</v>
      </c>
      <c r="Y49" s="1668" t="s">
        <v>285</v>
      </c>
      <c r="Z49" s="1667" t="s">
        <v>220</v>
      </c>
      <c r="AA49" s="1667" t="s">
        <v>221</v>
      </c>
      <c r="AB49" s="1667" t="s">
        <v>222</v>
      </c>
      <c r="AC49" s="1668" t="s">
        <v>219</v>
      </c>
      <c r="AD49" s="1667" t="s">
        <v>185</v>
      </c>
      <c r="AE49" s="1667" t="s">
        <v>186</v>
      </c>
      <c r="AF49" s="1667" t="s">
        <v>187</v>
      </c>
      <c r="AG49" s="1668" t="s">
        <v>188</v>
      </c>
      <c r="AH49" s="1667" t="s">
        <v>118</v>
      </c>
      <c r="AI49" s="1667" t="s">
        <v>117</v>
      </c>
      <c r="AJ49" s="1667" t="s">
        <v>116</v>
      </c>
      <c r="AK49" s="1668" t="s">
        <v>115</v>
      </c>
      <c r="AL49" s="1667" t="s">
        <v>83</v>
      </c>
      <c r="AM49" s="1667" t="s">
        <v>84</v>
      </c>
      <c r="AN49" s="1667" t="s">
        <v>85</v>
      </c>
      <c r="AO49" s="1668" t="s">
        <v>30</v>
      </c>
      <c r="AP49" s="1667" t="s">
        <v>31</v>
      </c>
      <c r="AQ49" s="1667" t="s">
        <v>32</v>
      </c>
      <c r="AR49" s="1667" t="s">
        <v>33</v>
      </c>
      <c r="AS49" s="1667" t="s">
        <v>34</v>
      </c>
      <c r="AT49" s="1669" t="s">
        <v>35</v>
      </c>
      <c r="AU49" s="1668" t="s">
        <v>36</v>
      </c>
      <c r="AV49" s="1668" t="s">
        <v>37</v>
      </c>
      <c r="AW49" s="1668" t="s">
        <v>38</v>
      </c>
      <c r="AX49" s="1759"/>
      <c r="AY49" s="1010" t="s">
        <v>399</v>
      </c>
      <c r="AZ49" s="1010" t="s">
        <v>373</v>
      </c>
      <c r="BA49" s="2453" t="s">
        <v>39</v>
      </c>
      <c r="BB49" s="2454"/>
      <c r="BC49" s="1784"/>
      <c r="BD49" s="1012" t="s">
        <v>438</v>
      </c>
      <c r="BE49" s="1012" t="s">
        <v>385</v>
      </c>
      <c r="BF49" s="1012" t="s">
        <v>332</v>
      </c>
      <c r="BG49" s="1669" t="s">
        <v>287</v>
      </c>
      <c r="BH49" s="1669" t="s">
        <v>224</v>
      </c>
      <c r="BI49" s="1669" t="s">
        <v>120</v>
      </c>
      <c r="BJ49" s="1669" t="s">
        <v>119</v>
      </c>
      <c r="BK49" s="1669" t="s">
        <v>43</v>
      </c>
      <c r="BL49" s="1669" t="s">
        <v>40</v>
      </c>
      <c r="BM49" s="1672" t="s">
        <v>41</v>
      </c>
      <c r="BN49" s="1672" t="s">
        <v>138</v>
      </c>
      <c r="BO49" s="1672" t="s">
        <v>139</v>
      </c>
      <c r="BP49" s="1672" t="s">
        <v>140</v>
      </c>
      <c r="BQ49" s="1666"/>
      <c r="BS49" s="1560"/>
      <c r="BT49" s="1560"/>
      <c r="BU49" s="1560"/>
      <c r="BV49" s="1560"/>
    </row>
    <row r="50" spans="1:74" ht="12.75" customHeight="1" x14ac:dyDescent="0.2">
      <c r="A50" s="1637"/>
      <c r="B50" s="1633" t="s">
        <v>4</v>
      </c>
      <c r="C50" s="1638">
        <v>14556</v>
      </c>
      <c r="D50" s="1639">
        <v>0.423928238583411</v>
      </c>
      <c r="E50" s="1572"/>
      <c r="F50" s="1593">
        <v>0</v>
      </c>
      <c r="G50" s="1593">
        <v>0</v>
      </c>
      <c r="H50" s="1593">
        <v>0</v>
      </c>
      <c r="I50" s="2335">
        <v>48892</v>
      </c>
      <c r="J50" s="1785">
        <v>39106</v>
      </c>
      <c r="K50" s="1785">
        <v>33199</v>
      </c>
      <c r="L50" s="1785">
        <v>24758</v>
      </c>
      <c r="M50" s="1786">
        <v>34336</v>
      </c>
      <c r="N50" s="1785">
        <v>48292</v>
      </c>
      <c r="O50" s="1785">
        <v>29192</v>
      </c>
      <c r="P50" s="1785">
        <v>68913</v>
      </c>
      <c r="Q50" s="1786">
        <v>58188</v>
      </c>
      <c r="R50" s="1785">
        <v>43057</v>
      </c>
      <c r="S50" s="1785">
        <v>41283</v>
      </c>
      <c r="T50" s="1785">
        <v>31264</v>
      </c>
      <c r="U50" s="1786">
        <v>32910</v>
      </c>
      <c r="V50" s="1785">
        <v>56814</v>
      </c>
      <c r="W50" s="1785">
        <v>76454</v>
      </c>
      <c r="X50" s="1785">
        <v>35445</v>
      </c>
      <c r="Y50" s="1786">
        <v>35624</v>
      </c>
      <c r="Z50" s="1785">
        <v>71006</v>
      </c>
      <c r="AA50" s="1785">
        <v>56942</v>
      </c>
      <c r="AB50" s="1785">
        <v>42491</v>
      </c>
      <c r="AC50" s="1785">
        <v>61867</v>
      </c>
      <c r="AD50" s="1785">
        <v>88632</v>
      </c>
      <c r="AE50" s="1787">
        <v>109404</v>
      </c>
      <c r="AF50" s="1785">
        <v>49909</v>
      </c>
      <c r="AG50" s="1786">
        <v>53057</v>
      </c>
      <c r="AH50" s="1785">
        <v>32806</v>
      </c>
      <c r="AI50" s="1787">
        <v>58040</v>
      </c>
      <c r="AJ50" s="1785">
        <v>27314</v>
      </c>
      <c r="AK50" s="1786">
        <v>30054</v>
      </c>
      <c r="AL50" s="1787">
        <v>25033</v>
      </c>
      <c r="AM50" s="1787">
        <v>12639</v>
      </c>
      <c r="AN50" s="1785">
        <v>23461</v>
      </c>
      <c r="AO50" s="1786">
        <v>34352</v>
      </c>
      <c r="AP50" s="1788">
        <v>31944</v>
      </c>
      <c r="AQ50" s="1788">
        <v>42952</v>
      </c>
      <c r="AR50" s="1788">
        <v>39210</v>
      </c>
      <c r="AS50" s="1788">
        <v>62549</v>
      </c>
      <c r="AT50" s="1789">
        <v>57382</v>
      </c>
      <c r="AU50" s="1790">
        <v>48897</v>
      </c>
      <c r="AV50" s="1790">
        <v>38533</v>
      </c>
      <c r="AW50" s="1791">
        <v>42750</v>
      </c>
      <c r="AX50" s="1687"/>
      <c r="AY50" s="1709">
        <v>131399</v>
      </c>
      <c r="AZ50" s="1709">
        <v>204585</v>
      </c>
      <c r="BA50" s="1750">
        <v>-73186</v>
      </c>
      <c r="BB50" s="1792">
        <v>-0.35772906127037662</v>
      </c>
      <c r="BC50" s="1635"/>
      <c r="BD50" s="1702">
        <v>131399</v>
      </c>
      <c r="BE50" s="1793">
        <v>204585</v>
      </c>
      <c r="BF50" s="1793">
        <v>148514</v>
      </c>
      <c r="BG50" s="1793">
        <v>204337</v>
      </c>
      <c r="BH50" s="1793">
        <v>232306</v>
      </c>
      <c r="BI50" s="1793">
        <v>338520</v>
      </c>
      <c r="BJ50" s="1793">
        <v>177581</v>
      </c>
      <c r="BK50" s="1793">
        <v>122850</v>
      </c>
      <c r="BL50" s="1789">
        <v>176655</v>
      </c>
      <c r="BM50" s="1794">
        <v>187562</v>
      </c>
      <c r="BN50" s="1753">
        <v>150470</v>
      </c>
      <c r="BO50" s="1753">
        <f>BO15</f>
        <v>95559</v>
      </c>
      <c r="BP50" s="1753">
        <v>211758</v>
      </c>
      <c r="BQ50" s="1666"/>
      <c r="BS50" s="1560"/>
      <c r="BT50" s="1560"/>
      <c r="BU50" s="1560"/>
      <c r="BV50" s="1560"/>
    </row>
    <row r="51" spans="1:74" ht="12.75" customHeight="1" x14ac:dyDescent="0.2">
      <c r="A51" s="1635"/>
      <c r="B51" s="1633" t="s">
        <v>82</v>
      </c>
      <c r="C51" s="1638">
        <v>7563</v>
      </c>
      <c r="D51" s="1639">
        <v>0.28892878973105135</v>
      </c>
      <c r="E51" s="1595"/>
      <c r="F51" s="1593">
        <v>0</v>
      </c>
      <c r="G51" s="1593">
        <v>0</v>
      </c>
      <c r="H51" s="1593">
        <v>0</v>
      </c>
      <c r="I51" s="2335">
        <v>33739</v>
      </c>
      <c r="J51" s="1785">
        <v>34092</v>
      </c>
      <c r="K51" s="1785">
        <v>27504</v>
      </c>
      <c r="L51" s="1785">
        <v>21280</v>
      </c>
      <c r="M51" s="1786">
        <v>26176</v>
      </c>
      <c r="N51" s="1785">
        <v>36058</v>
      </c>
      <c r="O51" s="1785">
        <v>26915</v>
      </c>
      <c r="P51" s="1785">
        <v>45323</v>
      </c>
      <c r="Q51" s="1786">
        <v>41920</v>
      </c>
      <c r="R51" s="1785">
        <v>32534</v>
      </c>
      <c r="S51" s="1785">
        <v>32534</v>
      </c>
      <c r="T51" s="1785">
        <v>27997</v>
      </c>
      <c r="U51" s="1786">
        <v>25241</v>
      </c>
      <c r="V51" s="1785">
        <v>39497</v>
      </c>
      <c r="W51" s="1785">
        <v>48973</v>
      </c>
      <c r="X51" s="1785">
        <v>33948</v>
      </c>
      <c r="Y51" s="1786">
        <v>30690</v>
      </c>
      <c r="Z51" s="1785">
        <v>51052</v>
      </c>
      <c r="AA51" s="1785">
        <v>39039</v>
      </c>
      <c r="AB51" s="1785">
        <v>34722</v>
      </c>
      <c r="AC51" s="1786">
        <v>17435</v>
      </c>
      <c r="AD51" s="1785">
        <v>49341</v>
      </c>
      <c r="AE51" s="1785">
        <v>61013</v>
      </c>
      <c r="AF51" s="1785">
        <v>32590</v>
      </c>
      <c r="AG51" s="1786">
        <v>31711</v>
      </c>
      <c r="AH51" s="1785">
        <v>22693</v>
      </c>
      <c r="AI51" s="1785">
        <v>37922</v>
      </c>
      <c r="AJ51" s="1785">
        <v>19480</v>
      </c>
      <c r="AK51" s="1786">
        <v>22187</v>
      </c>
      <c r="AL51" s="1785">
        <v>15783</v>
      </c>
      <c r="AM51" s="1785">
        <v>21597</v>
      </c>
      <c r="AN51" s="1785">
        <v>20639</v>
      </c>
      <c r="AO51" s="1786">
        <v>27571</v>
      </c>
      <c r="AP51" s="1788">
        <v>24147</v>
      </c>
      <c r="AQ51" s="1788">
        <v>86348</v>
      </c>
      <c r="AR51" s="1788">
        <v>72982</v>
      </c>
      <c r="AS51" s="1788">
        <v>106349</v>
      </c>
      <c r="AT51" s="1795">
        <v>100905</v>
      </c>
      <c r="AU51" s="1790">
        <v>75317</v>
      </c>
      <c r="AV51" s="1790">
        <v>70703</v>
      </c>
      <c r="AW51" s="1790">
        <v>91522</v>
      </c>
      <c r="AX51" s="1687"/>
      <c r="AY51" s="1796">
        <v>109052</v>
      </c>
      <c r="AZ51" s="1709">
        <v>150216</v>
      </c>
      <c r="BA51" s="1797">
        <v>-41164</v>
      </c>
      <c r="BB51" s="1798">
        <v>-0.27403206049954731</v>
      </c>
      <c r="BC51" s="1635"/>
      <c r="BD51" s="1702">
        <v>109052</v>
      </c>
      <c r="BE51" s="1793">
        <v>150216</v>
      </c>
      <c r="BF51" s="1793">
        <v>118306</v>
      </c>
      <c r="BG51" s="1793">
        <v>153108</v>
      </c>
      <c r="BH51" s="1793">
        <v>165492</v>
      </c>
      <c r="BI51" s="1793">
        <v>201288</v>
      </c>
      <c r="BJ51" s="1793">
        <v>102282</v>
      </c>
      <c r="BK51" s="1793">
        <v>102599</v>
      </c>
      <c r="BL51" s="1795">
        <f>BL31</f>
        <v>120138</v>
      </c>
      <c r="BM51" s="1799">
        <f>BM31</f>
        <v>125171</v>
      </c>
      <c r="BN51" s="1715">
        <f>BN31</f>
        <v>105485</v>
      </c>
      <c r="BO51" s="1715">
        <f>BO31</f>
        <v>67435</v>
      </c>
      <c r="BP51" s="1715">
        <v>154490</v>
      </c>
      <c r="BQ51" s="1666"/>
      <c r="BS51" s="1560"/>
      <c r="BT51" s="1560"/>
      <c r="BU51" s="1560"/>
      <c r="BV51" s="1560"/>
    </row>
    <row r="52" spans="1:74" ht="24.75" customHeight="1" x14ac:dyDescent="0.2">
      <c r="A52" s="1635"/>
      <c r="B52" s="1624" t="s">
        <v>179</v>
      </c>
      <c r="C52" s="1638">
        <v>6993</v>
      </c>
      <c r="D52" s="1640">
        <v>0.85698529411764701</v>
      </c>
      <c r="E52" s="1595"/>
      <c r="F52" s="1593">
        <v>0</v>
      </c>
      <c r="G52" s="1593">
        <v>0</v>
      </c>
      <c r="H52" s="1593">
        <v>0</v>
      </c>
      <c r="I52" s="2335">
        <v>15153</v>
      </c>
      <c r="J52" s="1785">
        <v>5014</v>
      </c>
      <c r="K52" s="1785">
        <v>5695</v>
      </c>
      <c r="L52" s="1785">
        <v>3478</v>
      </c>
      <c r="M52" s="1786">
        <v>8160</v>
      </c>
      <c r="N52" s="1785">
        <v>12234</v>
      </c>
      <c r="O52" s="1785">
        <v>2277</v>
      </c>
      <c r="P52" s="1785">
        <v>23590</v>
      </c>
      <c r="Q52" s="1786">
        <v>16268</v>
      </c>
      <c r="R52" s="1785">
        <v>10523</v>
      </c>
      <c r="S52" s="1785">
        <v>8749</v>
      </c>
      <c r="T52" s="1785">
        <v>3267</v>
      </c>
      <c r="U52" s="1786">
        <v>7669</v>
      </c>
      <c r="V52" s="1785">
        <v>17317</v>
      </c>
      <c r="W52" s="1785">
        <v>27481</v>
      </c>
      <c r="X52" s="1785">
        <v>1497</v>
      </c>
      <c r="Y52" s="1786">
        <v>4934</v>
      </c>
      <c r="Z52" s="1785">
        <v>19954</v>
      </c>
      <c r="AA52" s="1785">
        <v>17903</v>
      </c>
      <c r="AB52" s="1785">
        <v>7769</v>
      </c>
      <c r="AC52" s="1786">
        <v>44432</v>
      </c>
      <c r="AD52" s="1785">
        <v>39291</v>
      </c>
      <c r="AE52" s="1785">
        <v>48391</v>
      </c>
      <c r="AF52" s="1785">
        <v>17319</v>
      </c>
      <c r="AG52" s="1786">
        <v>21346</v>
      </c>
      <c r="AH52" s="1785">
        <v>10113</v>
      </c>
      <c r="AI52" s="1785">
        <v>20118</v>
      </c>
      <c r="AJ52" s="1785">
        <v>7834</v>
      </c>
      <c r="AK52" s="1786">
        <v>7867</v>
      </c>
      <c r="AL52" s="1785">
        <v>9250</v>
      </c>
      <c r="AM52" s="1785">
        <v>-8958</v>
      </c>
      <c r="AN52" s="1785">
        <v>2822</v>
      </c>
      <c r="AO52" s="1786">
        <v>6781</v>
      </c>
      <c r="AP52" s="1788">
        <v>7797</v>
      </c>
      <c r="AQ52" s="1788">
        <v>23235</v>
      </c>
      <c r="AR52" s="1788">
        <v>16089</v>
      </c>
      <c r="AS52" s="1788">
        <v>48674</v>
      </c>
      <c r="AT52" s="1795">
        <v>29246</v>
      </c>
      <c r="AU52" s="1790">
        <v>26110</v>
      </c>
      <c r="AV52" s="1790">
        <v>22330</v>
      </c>
      <c r="AW52" s="1790">
        <v>33584</v>
      </c>
      <c r="AX52" s="1687"/>
      <c r="AY52" s="1796">
        <v>22347</v>
      </c>
      <c r="AZ52" s="1709">
        <v>54369</v>
      </c>
      <c r="BA52" s="1797">
        <v>-32022</v>
      </c>
      <c r="BB52" s="1798">
        <v>-0.58897533520940237</v>
      </c>
      <c r="BC52" s="1635"/>
      <c r="BD52" s="2246">
        <v>22347</v>
      </c>
      <c r="BE52" s="1793">
        <v>54369</v>
      </c>
      <c r="BF52" s="1793">
        <v>30208</v>
      </c>
      <c r="BG52" s="1793">
        <v>51229</v>
      </c>
      <c r="BH52" s="1793">
        <v>66814</v>
      </c>
      <c r="BI52" s="1793">
        <v>137232</v>
      </c>
      <c r="BJ52" s="1793">
        <v>75299</v>
      </c>
      <c r="BK52" s="1793">
        <v>20251</v>
      </c>
      <c r="BL52" s="1800">
        <f>BL50-BL51</f>
        <v>56517</v>
      </c>
      <c r="BM52" s="1801">
        <f>BM50-BM51</f>
        <v>62391</v>
      </c>
      <c r="BN52" s="1802">
        <f>BN50-BN51</f>
        <v>44985</v>
      </c>
      <c r="BO52" s="1802">
        <f>BO50-BO51</f>
        <v>28124</v>
      </c>
      <c r="BP52" s="1802">
        <v>57268</v>
      </c>
      <c r="BQ52" s="1666"/>
      <c r="BS52" s="1560"/>
      <c r="BT52" s="1560"/>
      <c r="BU52" s="1560"/>
      <c r="BV52" s="1560"/>
    </row>
    <row r="53" spans="1:74" ht="24.75" customHeight="1" x14ac:dyDescent="0.2">
      <c r="A53" s="1635"/>
      <c r="B53" s="1624" t="s">
        <v>353</v>
      </c>
      <c r="C53" s="1641">
        <v>7636</v>
      </c>
      <c r="D53" s="1642">
        <v>1.420122745025107</v>
      </c>
      <c r="E53" s="1595"/>
      <c r="F53" s="1224">
        <v>0</v>
      </c>
      <c r="G53" s="2338">
        <v>0</v>
      </c>
      <c r="H53" s="2338">
        <v>0</v>
      </c>
      <c r="I53" s="2339">
        <v>13013</v>
      </c>
      <c r="J53" s="1378">
        <v>1411</v>
      </c>
      <c r="K53" s="1803">
        <v>2955</v>
      </c>
      <c r="L53" s="1803">
        <v>530</v>
      </c>
      <c r="M53" s="1804">
        <v>5377</v>
      </c>
      <c r="N53" s="1803">
        <v>9720</v>
      </c>
      <c r="O53" s="1803">
        <v>294</v>
      </c>
      <c r="P53" s="1803">
        <v>20745</v>
      </c>
      <c r="Q53" s="1804">
        <v>14102</v>
      </c>
      <c r="R53" s="1803">
        <v>7493</v>
      </c>
      <c r="S53" s="1803">
        <v>5993</v>
      </c>
      <c r="T53" s="1803">
        <v>1495</v>
      </c>
      <c r="U53" s="1804">
        <v>5308</v>
      </c>
      <c r="V53" s="1803">
        <v>15038</v>
      </c>
      <c r="W53" s="1803">
        <v>24890</v>
      </c>
      <c r="X53" s="1378">
        <v>-1021</v>
      </c>
      <c r="Y53" s="1804">
        <v>2020</v>
      </c>
      <c r="Z53" s="1803">
        <v>16847</v>
      </c>
      <c r="AA53" s="1803">
        <v>15288</v>
      </c>
      <c r="AB53" s="1803">
        <v>4665</v>
      </c>
      <c r="AC53" s="1804">
        <v>41391</v>
      </c>
      <c r="AD53" s="1803">
        <v>37731</v>
      </c>
      <c r="AE53" s="1803">
        <v>46595</v>
      </c>
      <c r="AF53" s="1803"/>
      <c r="AG53" s="1804"/>
      <c r="AH53" s="1803"/>
      <c r="AI53" s="1803"/>
      <c r="AJ53" s="1803"/>
      <c r="AK53" s="1804"/>
      <c r="AL53" s="1803"/>
      <c r="AM53" s="1803"/>
      <c r="AN53" s="1803"/>
      <c r="AO53" s="1804"/>
      <c r="AP53" s="1694"/>
      <c r="AQ53" s="1694"/>
      <c r="AR53" s="1694"/>
      <c r="AS53" s="1694"/>
      <c r="AT53" s="1800"/>
      <c r="AU53" s="1805"/>
      <c r="AV53" s="1805"/>
      <c r="AW53" s="1805"/>
      <c r="AX53" s="1687"/>
      <c r="AY53" s="1803">
        <v>10273</v>
      </c>
      <c r="AZ53" s="1803">
        <v>44861</v>
      </c>
      <c r="BA53" s="1806">
        <v>-34588</v>
      </c>
      <c r="BB53" s="1642">
        <v>-0.77100376719199304</v>
      </c>
      <c r="BC53" s="1635"/>
      <c r="BD53" s="1828">
        <v>10273</v>
      </c>
      <c r="BE53" s="1807">
        <v>44861</v>
      </c>
      <c r="BF53" s="1807">
        <v>20289</v>
      </c>
      <c r="BG53" s="1807">
        <v>40927</v>
      </c>
      <c r="BH53" s="1807">
        <v>54947</v>
      </c>
      <c r="BI53" s="1807">
        <v>126329</v>
      </c>
      <c r="BJ53" s="1807">
        <v>65726</v>
      </c>
      <c r="BK53" s="1807">
        <v>20251</v>
      </c>
      <c r="BL53" s="1788"/>
      <c r="BM53" s="1788"/>
      <c r="BN53" s="1627"/>
      <c r="BO53" s="1627"/>
      <c r="BP53" s="1627"/>
      <c r="BQ53" s="1603"/>
      <c r="BS53" s="1560"/>
      <c r="BT53" s="1560"/>
      <c r="BU53" s="1560"/>
      <c r="BV53" s="1560"/>
    </row>
    <row r="54" spans="1:74" ht="12.75" customHeight="1" x14ac:dyDescent="0.2">
      <c r="A54" s="1635"/>
      <c r="B54" s="1633"/>
      <c r="C54" s="1643"/>
      <c r="D54" s="1644"/>
      <c r="E54" s="1592"/>
      <c r="F54" s="1564"/>
      <c r="G54" s="1564"/>
      <c r="H54" s="1564"/>
      <c r="I54" s="1573"/>
      <c r="J54" s="1608"/>
      <c r="K54" s="1608"/>
      <c r="L54" s="1608"/>
      <c r="M54" s="1633"/>
      <c r="N54" s="1644"/>
      <c r="O54" s="1608"/>
      <c r="P54" s="1608"/>
      <c r="Q54" s="1633"/>
      <c r="R54" s="1644"/>
      <c r="S54" s="1608"/>
      <c r="T54" s="1608"/>
      <c r="U54" s="1633"/>
      <c r="V54" s="1644"/>
      <c r="W54" s="1608"/>
      <c r="X54" s="1608"/>
      <c r="Y54" s="1633"/>
      <c r="Z54" s="1644"/>
      <c r="AA54" s="1644"/>
      <c r="AB54" s="1608"/>
      <c r="AC54" s="1633"/>
      <c r="AD54" s="1644"/>
      <c r="AE54" s="1644"/>
      <c r="AF54" s="1644"/>
      <c r="AG54" s="1633"/>
      <c r="AH54" s="1644"/>
      <c r="AI54" s="1644"/>
      <c r="AJ54" s="1644"/>
      <c r="AK54" s="1633"/>
      <c r="AL54" s="1644"/>
      <c r="AM54" s="1644"/>
      <c r="AN54" s="1644"/>
      <c r="AO54" s="1633"/>
      <c r="AP54" s="1635"/>
      <c r="AQ54" s="1635"/>
      <c r="AR54" s="1635"/>
      <c r="AS54" s="1635"/>
      <c r="AT54" s="1635"/>
      <c r="AU54" s="1635"/>
      <c r="AV54" s="1635"/>
      <c r="AW54" s="1635"/>
      <c r="AX54" s="1633"/>
      <c r="AY54" s="1644"/>
      <c r="AZ54" s="1644"/>
      <c r="BA54" s="1808"/>
      <c r="BB54" s="1809"/>
      <c r="BC54" s="1633"/>
      <c r="BD54" s="1633"/>
      <c r="BE54" s="1633"/>
      <c r="BF54" s="1633"/>
      <c r="BG54" s="1633"/>
      <c r="BH54" s="1633"/>
      <c r="BI54" s="1633"/>
      <c r="BJ54" s="1633"/>
      <c r="BK54" s="1633"/>
      <c r="BL54" s="1635"/>
      <c r="BM54" s="1635"/>
      <c r="BN54" s="1627"/>
      <c r="BO54" s="1627"/>
      <c r="BP54" s="1627"/>
      <c r="BQ54" s="1603"/>
      <c r="BS54" s="1560"/>
      <c r="BT54" s="1560"/>
      <c r="BU54" s="1560"/>
      <c r="BV54" s="1560"/>
    </row>
    <row r="55" spans="1:74" ht="12.75" customHeight="1" x14ac:dyDescent="0.2">
      <c r="A55" s="1635"/>
      <c r="B55" s="1630" t="s">
        <v>77</v>
      </c>
      <c r="C55" s="1645">
        <v>-10.327741359905499</v>
      </c>
      <c r="D55" s="1644"/>
      <c r="E55" s="1592"/>
      <c r="F55" s="1592" t="e">
        <v>#DIV/0!</v>
      </c>
      <c r="G55" s="1592" t="e">
        <v>#DIV/0!</v>
      </c>
      <c r="H55" s="1592" t="e">
        <v>#DIV/0!</v>
      </c>
      <c r="I55" s="1592">
        <v>0.17622514930868036</v>
      </c>
      <c r="J55" s="1644">
        <v>0.20073645987827954</v>
      </c>
      <c r="K55" s="1644">
        <v>0.26612247356848096</v>
      </c>
      <c r="L55" s="1644">
        <v>0.34219242265126426</v>
      </c>
      <c r="M55" s="1644">
        <v>0.27950256290773534</v>
      </c>
      <c r="N55" s="1644">
        <v>0.21546011761782491</v>
      </c>
      <c r="O55" s="1644">
        <v>0.41898465332967938</v>
      </c>
      <c r="P55" s="1644">
        <v>0.16705120949603122</v>
      </c>
      <c r="Q55" s="1644">
        <v>0.19722279507802296</v>
      </c>
      <c r="R55" s="1644">
        <v>0.22279768678728198</v>
      </c>
      <c r="S55" s="1644">
        <v>0.26662306518421625</v>
      </c>
      <c r="T55" s="1644">
        <v>0.35315378710337769</v>
      </c>
      <c r="U55" s="1644">
        <v>0.29790337283500457</v>
      </c>
      <c r="V55" s="1644">
        <v>0.17038054000774458</v>
      </c>
      <c r="W55" s="1644">
        <v>0.14904386951631046</v>
      </c>
      <c r="X55" s="1644">
        <v>0.3457469318662717</v>
      </c>
      <c r="Y55" s="1644">
        <v>0.33334269032113184</v>
      </c>
      <c r="Z55" s="1644">
        <v>0.18522378390558544</v>
      </c>
      <c r="AA55" s="1644">
        <v>0.19358294404832987</v>
      </c>
      <c r="AB55" s="1644">
        <v>0.32216234026029039</v>
      </c>
      <c r="AC55" s="1644">
        <v>-0.16583962370892399</v>
      </c>
      <c r="AD55" s="1644">
        <v>0.1049846556548425</v>
      </c>
      <c r="AE55" s="1644">
        <v>0.10878030053745749</v>
      </c>
      <c r="AF55" s="1644">
        <v>0.1807689995792342</v>
      </c>
      <c r="AG55" s="1644">
        <v>0.15194978984865334</v>
      </c>
      <c r="AH55" s="1644">
        <v>0.1537803312755944</v>
      </c>
      <c r="AI55" s="1644">
        <v>0.10480982581197477</v>
      </c>
      <c r="AJ55" s="1644">
        <v>0.15381132075471698</v>
      </c>
      <c r="AK55" s="1644">
        <v>0.14983030545018966</v>
      </c>
      <c r="AL55" s="1644">
        <v>0.11488834738145648</v>
      </c>
      <c r="AM55" s="1644">
        <v>0.45581137748239575</v>
      </c>
      <c r="AN55" s="1644">
        <v>0.28570819658156088</v>
      </c>
      <c r="AO55" s="1644">
        <v>0.21975430833721471</v>
      </c>
      <c r="AP55" s="1644">
        <v>0.22119959929877286</v>
      </c>
      <c r="AQ55" s="1773">
        <v>0.22941514650995137</v>
      </c>
      <c r="AR55" s="1773">
        <v>0.30967430476810637</v>
      </c>
      <c r="AS55" s="1773">
        <v>0.16900000000000004</v>
      </c>
      <c r="AT55" s="1773">
        <v>0.21100000000000008</v>
      </c>
      <c r="AU55" s="1773">
        <v>0.20399999999999996</v>
      </c>
      <c r="AV55" s="1773">
        <v>0.249</v>
      </c>
      <c r="AW55" s="1773">
        <v>0.17899999999999994</v>
      </c>
      <c r="AX55" s="1633"/>
      <c r="AY55" s="1644">
        <v>0.26449211942252226</v>
      </c>
      <c r="AZ55" s="1644">
        <v>0.22300755187330448</v>
      </c>
      <c r="BA55" s="1629">
        <v>4.1484567549217779</v>
      </c>
      <c r="BB55" s="1809"/>
      <c r="BC55" s="1633"/>
      <c r="BD55" s="1644">
        <v>0.26449211942252226</v>
      </c>
      <c r="BE55" s="1644">
        <v>0.22300755187330448</v>
      </c>
      <c r="BF55" s="1644">
        <v>0.27906459997037314</v>
      </c>
      <c r="BG55" s="1644">
        <v>0.22123257168305299</v>
      </c>
      <c r="BH55" s="1644">
        <v>0.21888371372241786</v>
      </c>
      <c r="BI55" s="1644">
        <v>0.14644038756941982</v>
      </c>
      <c r="BJ55" s="1644">
        <f>(BJ51-BJ19-BJ20)/BJ50</f>
        <v>2.628096474284974E-2</v>
      </c>
      <c r="BK55" s="1773">
        <v>0.25467643467643469</v>
      </c>
      <c r="BL55" s="1773">
        <f>(BL21+BL22+BL23+BL24+BL25+BL26+BL27)/BL15</f>
        <v>0.1641504627664091</v>
      </c>
      <c r="BM55" s="1773">
        <f>(BM21+BM22+BM23+BM24+BM25+BM26+BM27)/BM15</f>
        <v>0.13159381964363784</v>
      </c>
      <c r="BN55" s="1630">
        <f>(BN21+BN22+BN23+BN24+BN25+BN26+BN27)/BN15</f>
        <v>0.13831328504020735</v>
      </c>
      <c r="BO55" s="1630">
        <f>(BO21+BO22+BO23+BO24+BO25+BO26+BO27)/BO15</f>
        <v>0.13580091880408962</v>
      </c>
      <c r="BP55" s="1630">
        <v>0.10299999999999998</v>
      </c>
      <c r="BQ55" s="1603"/>
      <c r="BS55" s="1560"/>
      <c r="BT55" s="1560"/>
      <c r="BU55" s="1560"/>
      <c r="BV55" s="1560"/>
    </row>
    <row r="56" spans="1:74" ht="12.75" customHeight="1" x14ac:dyDescent="0.2">
      <c r="A56" s="1635"/>
      <c r="B56" s="1630" t="s">
        <v>78</v>
      </c>
      <c r="C56" s="1645">
        <v>-7.227656003353033</v>
      </c>
      <c r="D56" s="1644"/>
      <c r="E56" s="1592"/>
      <c r="F56" s="1592" t="e">
        <v>#DIV/0!</v>
      </c>
      <c r="G56" s="1592" t="e">
        <v>#DIV/0!</v>
      </c>
      <c r="H56" s="1592" t="e">
        <v>#DIV/0!</v>
      </c>
      <c r="I56" s="1592">
        <v>0.69007199541847342</v>
      </c>
      <c r="J56" s="1644">
        <v>0.87178438091341481</v>
      </c>
      <c r="K56" s="1644">
        <v>0.82845868851471427</v>
      </c>
      <c r="L56" s="1644">
        <v>0.85952015510138136</v>
      </c>
      <c r="M56" s="1644">
        <v>0.76234855545200375</v>
      </c>
      <c r="N56" s="1644">
        <v>0.74666611447030562</v>
      </c>
      <c r="O56" s="1644">
        <v>0.92199917785694707</v>
      </c>
      <c r="P56" s="1644">
        <v>0.6576843266147171</v>
      </c>
      <c r="Q56" s="1644">
        <v>0.72042345500790539</v>
      </c>
      <c r="R56" s="1644">
        <v>0.75560303783356941</v>
      </c>
      <c r="S56" s="1644">
        <v>0.78807257224523408</v>
      </c>
      <c r="T56" s="1644">
        <v>0.89550281473899696</v>
      </c>
      <c r="U56" s="1644">
        <v>0.76697052567608626</v>
      </c>
      <c r="V56" s="1644">
        <v>0.69519836659978174</v>
      </c>
      <c r="W56" s="1644">
        <v>0.64055510503047586</v>
      </c>
      <c r="X56" s="1644">
        <v>0.95776555226407112</v>
      </c>
      <c r="Y56" s="1644">
        <v>0.86149786660678196</v>
      </c>
      <c r="Z56" s="1644">
        <v>0.71898149452158977</v>
      </c>
      <c r="AA56" s="1644">
        <v>0.68559235713533073</v>
      </c>
      <c r="AB56" s="1644">
        <v>0.8171612812124921</v>
      </c>
      <c r="AC56" s="1644">
        <v>0.28181421436306914</v>
      </c>
      <c r="AD56" s="1644">
        <v>0.55669509883563495</v>
      </c>
      <c r="AE56" s="1644">
        <v>0.55768527658952138</v>
      </c>
      <c r="AF56" s="1644">
        <v>0.65298843895890524</v>
      </c>
      <c r="AG56" s="1644">
        <v>0.59767796897676084</v>
      </c>
      <c r="AH56" s="1644">
        <v>0.69350895422040215</v>
      </c>
      <c r="AI56" s="1644">
        <v>0.66254345965022621</v>
      </c>
      <c r="AJ56" s="1644">
        <v>0.73509433962264148</v>
      </c>
      <c r="AK56" s="1644">
        <v>0.73823783855726355</v>
      </c>
      <c r="AL56" s="1644">
        <v>0.63048775616186636</v>
      </c>
      <c r="AM56" s="1644">
        <v>1.7087586043199621</v>
      </c>
      <c r="AN56" s="1644">
        <v>0.87971527215378709</v>
      </c>
      <c r="AO56" s="1644">
        <v>0.80260246856078243</v>
      </c>
      <c r="AP56" s="1644">
        <v>0.75591660405709993</v>
      </c>
      <c r="AQ56" s="1773">
        <v>0.78796893678764046</v>
      </c>
      <c r="AR56" s="1773">
        <v>0.81936881813384832</v>
      </c>
      <c r="AS56" s="1773">
        <v>0.68600000000000005</v>
      </c>
      <c r="AT56" s="1773">
        <v>0.77500000000000002</v>
      </c>
      <c r="AU56" s="1773">
        <v>0.74299999999999999</v>
      </c>
      <c r="AV56" s="1773">
        <v>0.76</v>
      </c>
      <c r="AW56" s="1773">
        <v>0.73199999999999998</v>
      </c>
      <c r="AX56" s="1633"/>
      <c r="AY56" s="1644">
        <v>0.82993021255869526</v>
      </c>
      <c r="AZ56" s="1644">
        <v>0.73424737884009095</v>
      </c>
      <c r="BA56" s="1629">
        <v>9.5682833718604314</v>
      </c>
      <c r="BB56" s="1809"/>
      <c r="BC56" s="1633"/>
      <c r="BD56" s="1644">
        <v>0.82993021255869526</v>
      </c>
      <c r="BE56" s="1644">
        <v>0.73424737884009095</v>
      </c>
      <c r="BF56" s="1644">
        <v>0.79659830049692282</v>
      </c>
      <c r="BG56" s="1644">
        <v>0.74929161140664691</v>
      </c>
      <c r="BH56" s="1644">
        <v>0.71238797103819962</v>
      </c>
      <c r="BI56" s="1644">
        <v>0.59461183977313015</v>
      </c>
      <c r="BJ56" s="1644">
        <f t="shared" ref="BJ56" si="0">BJ51/BJ50</f>
        <v>0.5759737809788209</v>
      </c>
      <c r="BK56" s="1773">
        <v>0.83515669515669511</v>
      </c>
      <c r="BL56" s="1773">
        <f>BL51/BL50</f>
        <v>0.68007132546488924</v>
      </c>
      <c r="BM56" s="1773">
        <f>BM51/BM50</f>
        <v>0.66735799362344184</v>
      </c>
      <c r="BN56" s="1630">
        <f>BN51/BN50</f>
        <v>0.70103675151192923</v>
      </c>
      <c r="BO56" s="1630">
        <f>BO51/BO50</f>
        <v>0.70568967862786336</v>
      </c>
      <c r="BP56" s="1630">
        <v>0.73</v>
      </c>
      <c r="BQ56" s="1603"/>
      <c r="BS56" s="1560"/>
      <c r="BT56" s="1560"/>
      <c r="BU56" s="1560"/>
      <c r="BV56" s="1560"/>
    </row>
    <row r="57" spans="1:74" ht="12.75" customHeight="1" x14ac:dyDescent="0.2">
      <c r="A57" s="1635"/>
      <c r="B57" s="1630" t="s">
        <v>178</v>
      </c>
      <c r="C57" s="1645">
        <v>7.2276560033530366</v>
      </c>
      <c r="D57" s="1644"/>
      <c r="E57" s="1592"/>
      <c r="F57" s="1592" t="e">
        <v>#DIV/0!</v>
      </c>
      <c r="G57" s="1592" t="e">
        <v>#DIV/0!</v>
      </c>
      <c r="H57" s="1592" t="e">
        <v>#DIV/0!</v>
      </c>
      <c r="I57" s="1592">
        <v>0.30992800458152664</v>
      </c>
      <c r="J57" s="1644">
        <v>0.12821561908658519</v>
      </c>
      <c r="K57" s="1644">
        <v>0.1715413114852857</v>
      </c>
      <c r="L57" s="1644">
        <v>0.14047984489861862</v>
      </c>
      <c r="M57" s="1644">
        <v>0.23765144454799628</v>
      </c>
      <c r="N57" s="1644">
        <v>0.25333388552969438</v>
      </c>
      <c r="O57" s="1644">
        <v>7.8000822143052886E-2</v>
      </c>
      <c r="P57" s="1644">
        <v>0.3423156733852829</v>
      </c>
      <c r="Q57" s="1644">
        <v>0.27957654499209461</v>
      </c>
      <c r="R57" s="1644">
        <v>0.24439696216643056</v>
      </c>
      <c r="S57" s="1644">
        <v>0.21192742775476589</v>
      </c>
      <c r="T57" s="1644">
        <v>0.10449718526100307</v>
      </c>
      <c r="U57" s="1644">
        <v>0.23302947432391372</v>
      </c>
      <c r="V57" s="1644">
        <v>0.30480163340021826</v>
      </c>
      <c r="W57" s="1644">
        <v>0.35944489496952414</v>
      </c>
      <c r="X57" s="1644">
        <v>4.2234447735928903E-2</v>
      </c>
      <c r="Y57" s="1644">
        <v>0.13850213339321807</v>
      </c>
      <c r="Z57" s="1644">
        <v>0.28101850547841029</v>
      </c>
      <c r="AA57" s="1644">
        <v>0.31440764286466932</v>
      </c>
      <c r="AB57" s="1644">
        <v>0.18283871878750793</v>
      </c>
      <c r="AC57" s="1644">
        <v>0.71818578563693081</v>
      </c>
      <c r="AD57" s="1644">
        <v>0.443304901164365</v>
      </c>
      <c r="AE57" s="1644">
        <v>0.44231472341047862</v>
      </c>
      <c r="AF57" s="1644">
        <v>0.34701156104109482</v>
      </c>
      <c r="AG57" s="1644">
        <v>0.40232203102323916</v>
      </c>
      <c r="AH57" s="1644">
        <v>0.30649104577959785</v>
      </c>
      <c r="AI57" s="1644">
        <v>0.33745654034977374</v>
      </c>
      <c r="AJ57" s="1644">
        <v>0.26490566037735847</v>
      </c>
      <c r="AK57" s="1644">
        <v>0.2617621614427364</v>
      </c>
      <c r="AL57" s="1644">
        <v>0.36951224383813364</v>
      </c>
      <c r="AM57" s="1644">
        <v>-0.70875860431996207</v>
      </c>
      <c r="AN57" s="1644">
        <v>0.12028472784621286</v>
      </c>
      <c r="AO57" s="1644">
        <v>0.19739753143921751</v>
      </c>
      <c r="AP57" s="1644">
        <v>0.24408339594290007</v>
      </c>
      <c r="AQ57" s="1773">
        <v>0.21203106321235959</v>
      </c>
      <c r="AR57" s="1773">
        <v>0.18063118186615174</v>
      </c>
      <c r="AS57" s="1773">
        <v>0.31399999999999995</v>
      </c>
      <c r="AT57" s="1773">
        <v>0.22500000000000001</v>
      </c>
      <c r="AU57" s="1773">
        <v>0.25700000000000001</v>
      </c>
      <c r="AV57" s="1773">
        <v>0.24</v>
      </c>
      <c r="AW57" s="1773">
        <v>0.26800000000000002</v>
      </c>
      <c r="AX57" s="1633"/>
      <c r="AY57" s="1644">
        <v>0.17006978744130472</v>
      </c>
      <c r="AZ57" s="1644">
        <v>0.26575262115990911</v>
      </c>
      <c r="BA57" s="1629">
        <v>-9.5682833718604385</v>
      </c>
      <c r="BB57" s="1809"/>
      <c r="BC57" s="1633"/>
      <c r="BD57" s="1644">
        <v>0.17006978744130472</v>
      </c>
      <c r="BE57" s="1644">
        <v>0.26575262115990911</v>
      </c>
      <c r="BF57" s="1644">
        <v>0.20340169950307715</v>
      </c>
      <c r="BG57" s="1644">
        <v>0.25070838859335315</v>
      </c>
      <c r="BH57" s="1644">
        <v>0.28761202896180038</v>
      </c>
      <c r="BI57" s="1644">
        <v>0.40538816022686991</v>
      </c>
      <c r="BJ57" s="1644">
        <f t="shared" ref="BJ57" si="1">BJ52/BJ50</f>
        <v>0.42402621902117904</v>
      </c>
      <c r="BK57" s="1773">
        <v>0.16484330484330484</v>
      </c>
      <c r="BL57" s="1773">
        <f>BL52/BL50</f>
        <v>0.31992867453511081</v>
      </c>
      <c r="BM57" s="1773">
        <f>BM52/BM50</f>
        <v>0.33264200637655816</v>
      </c>
      <c r="BN57" s="1630">
        <f>BN52/BN50</f>
        <v>0.29896324848807071</v>
      </c>
      <c r="BO57" s="1630">
        <f>BO52/BO50</f>
        <v>0.29431032137213659</v>
      </c>
      <c r="BP57" s="1630">
        <v>0.27</v>
      </c>
    </row>
    <row r="58" spans="1:74" ht="12.75" customHeight="1" x14ac:dyDescent="0.2">
      <c r="A58" s="1635"/>
      <c r="B58" s="1630"/>
      <c r="C58" s="1645"/>
      <c r="D58" s="1644"/>
      <c r="E58" s="1592"/>
      <c r="F58" s="1592"/>
      <c r="G58" s="1592"/>
      <c r="H58" s="1592"/>
      <c r="I58" s="1592"/>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773"/>
      <c r="AR58" s="1773"/>
      <c r="AS58" s="1773"/>
      <c r="AT58" s="1773"/>
      <c r="AU58" s="1773"/>
      <c r="AV58" s="1773"/>
      <c r="AW58" s="1773"/>
      <c r="AX58" s="1633"/>
      <c r="AY58" s="1644"/>
      <c r="AZ58" s="1644"/>
      <c r="BA58" s="1629"/>
      <c r="BB58" s="1809"/>
      <c r="BC58" s="1633"/>
      <c r="BD58" s="1773"/>
      <c r="BE58" s="1773"/>
      <c r="BF58" s="1773"/>
      <c r="BG58" s="1773"/>
      <c r="BH58" s="1773"/>
      <c r="BI58" s="1773"/>
      <c r="BJ58" s="1773"/>
      <c r="BK58" s="1773"/>
      <c r="BL58" s="1773"/>
      <c r="BM58" s="1773"/>
      <c r="BN58" s="1630"/>
      <c r="BO58" s="1630"/>
      <c r="BP58" s="1630"/>
    </row>
    <row r="59" spans="1:74" ht="12.75" customHeight="1" x14ac:dyDescent="0.2">
      <c r="A59" s="1646" t="s">
        <v>190</v>
      </c>
      <c r="B59" s="1630"/>
      <c r="C59" s="1633"/>
      <c r="D59" s="1633"/>
      <c r="E59" s="1573"/>
      <c r="F59" s="1573"/>
      <c r="G59" s="1573"/>
      <c r="H59" s="1573"/>
      <c r="I59" s="1573"/>
      <c r="J59" s="1633"/>
      <c r="K59" s="1633"/>
      <c r="L59" s="1633"/>
      <c r="M59" s="1633"/>
      <c r="N59" s="1633"/>
      <c r="O59" s="1633"/>
      <c r="P59" s="1633"/>
      <c r="Q59" s="1633"/>
      <c r="R59" s="1633"/>
      <c r="S59" s="1633"/>
      <c r="T59" s="1633"/>
      <c r="U59" s="1633"/>
      <c r="V59" s="1633"/>
      <c r="W59" s="1633"/>
      <c r="X59" s="1633"/>
      <c r="Y59" s="1633"/>
      <c r="Z59" s="1633"/>
      <c r="AA59" s="1633"/>
      <c r="AB59" s="1633"/>
      <c r="AC59" s="1633"/>
      <c r="AD59" s="1633"/>
      <c r="AE59" s="1633"/>
      <c r="AF59" s="1633"/>
      <c r="AG59" s="1633"/>
      <c r="AH59" s="1633"/>
      <c r="AI59" s="1633"/>
      <c r="AJ59" s="1633"/>
      <c r="AK59" s="1633"/>
      <c r="AL59" s="1633"/>
      <c r="AM59" s="1633"/>
      <c r="AN59" s="1633"/>
      <c r="AO59" s="1633"/>
      <c r="AP59" s="1633"/>
      <c r="AQ59" s="1633"/>
      <c r="AR59" s="1633"/>
      <c r="AS59" s="1608"/>
      <c r="AT59" s="1633"/>
      <c r="AU59" s="1608"/>
      <c r="AV59" s="1608"/>
      <c r="AW59" s="1633"/>
      <c r="AX59" s="1633"/>
      <c r="AY59" s="1633"/>
      <c r="AZ59" s="1633"/>
      <c r="BA59" s="1688"/>
      <c r="BB59" s="1688"/>
      <c r="BC59" s="1633"/>
      <c r="BD59" s="1633"/>
      <c r="BE59" s="1633"/>
      <c r="BF59" s="1633"/>
      <c r="BG59" s="1633"/>
      <c r="BH59" s="1633"/>
      <c r="BI59" s="1633"/>
      <c r="BJ59" s="1633"/>
      <c r="BK59" s="1633"/>
      <c r="BL59" s="1633"/>
      <c r="BM59" s="1633"/>
      <c r="BN59" s="1627"/>
      <c r="BO59" s="1630"/>
      <c r="BP59" s="1630"/>
    </row>
    <row r="60" spans="1:74" ht="12.75" customHeight="1" x14ac:dyDescent="0.2">
      <c r="C60" s="2476" t="s">
        <v>456</v>
      </c>
      <c r="D60" s="2477"/>
      <c r="E60" s="1565"/>
      <c r="F60" s="1567"/>
      <c r="G60" s="1566"/>
      <c r="H60" s="1566"/>
      <c r="I60" s="2321"/>
      <c r="J60" s="1660"/>
      <c r="K60" s="1659"/>
      <c r="L60" s="1659"/>
      <c r="M60" s="1658"/>
      <c r="N60" s="1660"/>
      <c r="O60" s="1659"/>
      <c r="P60" s="1659"/>
      <c r="Q60" s="1658"/>
      <c r="R60" s="1660"/>
      <c r="S60" s="1659"/>
      <c r="T60" s="1659"/>
      <c r="U60" s="1658"/>
      <c r="V60" s="1660"/>
      <c r="W60" s="1659"/>
      <c r="X60" s="1659"/>
      <c r="Y60" s="1658"/>
      <c r="Z60" s="1659"/>
      <c r="AA60" s="1659"/>
      <c r="AB60" s="1659"/>
      <c r="AC60" s="1658"/>
      <c r="AD60" s="1659"/>
      <c r="AE60" s="1658"/>
      <c r="AG60" s="1658"/>
      <c r="AH60" s="1659"/>
      <c r="AI60" s="1659"/>
      <c r="AK60" s="1658"/>
      <c r="AM60" s="1659"/>
      <c r="AN60" s="1659"/>
      <c r="AO60" s="1658"/>
      <c r="AP60" s="1659"/>
      <c r="AQ60" s="1659"/>
      <c r="AR60" s="1659"/>
      <c r="AS60" s="1659"/>
      <c r="AT60" s="1660"/>
      <c r="AU60" s="1658"/>
      <c r="AV60" s="1658"/>
      <c r="AW60" s="1659"/>
      <c r="AX60" s="1687"/>
      <c r="AY60" s="2476" t="s">
        <v>448</v>
      </c>
      <c r="AZ60" s="2477"/>
      <c r="BA60" s="1006" t="s">
        <v>441</v>
      </c>
      <c r="BB60" s="1007"/>
      <c r="BC60" s="1633"/>
      <c r="BD60" s="1663"/>
      <c r="BE60" s="1663"/>
      <c r="BF60" s="1663"/>
      <c r="BG60" s="1663"/>
      <c r="BH60" s="1663"/>
      <c r="BI60" s="1663"/>
      <c r="BJ60" s="1663"/>
      <c r="BK60" s="1663"/>
      <c r="BL60" s="1782"/>
      <c r="BM60" s="1783"/>
      <c r="BN60" s="1663"/>
      <c r="BO60" s="1630"/>
      <c r="BP60" s="1630"/>
      <c r="BQ60" s="1666"/>
    </row>
    <row r="61" spans="1:74" ht="12.75" customHeight="1" x14ac:dyDescent="0.2">
      <c r="C61" s="2478" t="s">
        <v>39</v>
      </c>
      <c r="D61" s="2479"/>
      <c r="E61" s="1568"/>
      <c r="F61" s="925" t="s">
        <v>452</v>
      </c>
      <c r="G61" s="925" t="s">
        <v>453</v>
      </c>
      <c r="H61" s="925" t="s">
        <v>454</v>
      </c>
      <c r="I61" s="2281" t="s">
        <v>455</v>
      </c>
      <c r="J61" s="1010" t="s">
        <v>399</v>
      </c>
      <c r="K61" s="1010" t="s">
        <v>398</v>
      </c>
      <c r="L61" s="1010" t="s">
        <v>397</v>
      </c>
      <c r="M61" s="1011" t="s">
        <v>395</v>
      </c>
      <c r="N61" s="1010" t="s">
        <v>373</v>
      </c>
      <c r="O61" s="1010" t="s">
        <v>374</v>
      </c>
      <c r="P61" s="1010" t="s">
        <v>375</v>
      </c>
      <c r="Q61" s="1011" t="s">
        <v>376</v>
      </c>
      <c r="R61" s="1669" t="s">
        <v>330</v>
      </c>
      <c r="S61" s="1667" t="s">
        <v>329</v>
      </c>
      <c r="T61" s="1667" t="s">
        <v>328</v>
      </c>
      <c r="U61" s="1668" t="s">
        <v>326</v>
      </c>
      <c r="V61" s="1669" t="s">
        <v>282</v>
      </c>
      <c r="W61" s="1667" t="s">
        <v>283</v>
      </c>
      <c r="X61" s="1667" t="s">
        <v>284</v>
      </c>
      <c r="Y61" s="1668" t="s">
        <v>285</v>
      </c>
      <c r="Z61" s="1667" t="s">
        <v>220</v>
      </c>
      <c r="AA61" s="1667" t="s">
        <v>221</v>
      </c>
      <c r="AB61" s="1667" t="s">
        <v>222</v>
      </c>
      <c r="AC61" s="1668" t="s">
        <v>219</v>
      </c>
      <c r="AD61" s="1667" t="s">
        <v>185</v>
      </c>
      <c r="AE61" s="1668" t="s">
        <v>186</v>
      </c>
      <c r="AF61" s="1667" t="s">
        <v>187</v>
      </c>
      <c r="AG61" s="1668" t="s">
        <v>188</v>
      </c>
      <c r="AH61" s="1667" t="s">
        <v>118</v>
      </c>
      <c r="AI61" s="1667" t="s">
        <v>117</v>
      </c>
      <c r="AJ61" s="1667" t="s">
        <v>116</v>
      </c>
      <c r="AK61" s="1668" t="s">
        <v>115</v>
      </c>
      <c r="AL61" s="1667" t="s">
        <v>83</v>
      </c>
      <c r="AM61" s="1667" t="s">
        <v>84</v>
      </c>
      <c r="AN61" s="1667" t="s">
        <v>85</v>
      </c>
      <c r="AO61" s="1668" t="s">
        <v>30</v>
      </c>
      <c r="AP61" s="1667" t="s">
        <v>31</v>
      </c>
      <c r="AQ61" s="1667" t="s">
        <v>32</v>
      </c>
      <c r="AR61" s="1667" t="s">
        <v>33</v>
      </c>
      <c r="AS61" s="1667" t="s">
        <v>34</v>
      </c>
      <c r="AT61" s="1669" t="s">
        <v>35</v>
      </c>
      <c r="AU61" s="1668" t="s">
        <v>36</v>
      </c>
      <c r="AV61" s="1668" t="s">
        <v>37</v>
      </c>
      <c r="AW61" s="1667" t="s">
        <v>38</v>
      </c>
      <c r="AX61" s="1687"/>
      <c r="AY61" s="1010" t="s">
        <v>399</v>
      </c>
      <c r="AZ61" s="1010" t="s">
        <v>373</v>
      </c>
      <c r="BA61" s="2453" t="s">
        <v>39</v>
      </c>
      <c r="BB61" s="2454"/>
      <c r="BC61" s="1633"/>
      <c r="BD61" s="1012" t="s">
        <v>438</v>
      </c>
      <c r="BE61" s="1012" t="s">
        <v>385</v>
      </c>
      <c r="BF61" s="1012" t="s">
        <v>332</v>
      </c>
      <c r="BG61" s="1669" t="s">
        <v>287</v>
      </c>
      <c r="BH61" s="1669" t="s">
        <v>224</v>
      </c>
      <c r="BI61" s="1669" t="s">
        <v>120</v>
      </c>
      <c r="BJ61" s="1669" t="s">
        <v>119</v>
      </c>
      <c r="BK61" s="1669" t="s">
        <v>43</v>
      </c>
      <c r="BL61" s="1669" t="s">
        <v>40</v>
      </c>
      <c r="BM61" s="1672" t="s">
        <v>41</v>
      </c>
      <c r="BN61" s="1672" t="s">
        <v>138</v>
      </c>
      <c r="BO61" s="1630"/>
      <c r="BP61" s="1630"/>
      <c r="BQ61" s="1666"/>
    </row>
    <row r="62" spans="1:74" ht="12.75" customHeight="1" x14ac:dyDescent="0.2">
      <c r="A62" s="1635"/>
      <c r="B62" s="969" t="s">
        <v>312</v>
      </c>
      <c r="C62" s="1638">
        <v>-2069</v>
      </c>
      <c r="D62" s="1639">
        <v>-0.17762706043956045</v>
      </c>
      <c r="E62" s="1572"/>
      <c r="F62" s="1593"/>
      <c r="G62" s="1593"/>
      <c r="H62" s="1593"/>
      <c r="I62" s="2341">
        <v>9579</v>
      </c>
      <c r="J62" s="1785">
        <v>12089</v>
      </c>
      <c r="K62" s="1785">
        <v>10763</v>
      </c>
      <c r="L62" s="1785">
        <v>6588</v>
      </c>
      <c r="M62" s="1810">
        <v>11648</v>
      </c>
      <c r="N62" s="1785">
        <v>12318</v>
      </c>
      <c r="O62" s="1785">
        <v>10622</v>
      </c>
      <c r="P62" s="1785">
        <v>10865</v>
      </c>
      <c r="Q62" s="1810">
        <v>13609</v>
      </c>
      <c r="R62" s="1785">
        <v>13111</v>
      </c>
      <c r="S62" s="1785">
        <v>11821</v>
      </c>
      <c r="T62" s="1785">
        <v>11011</v>
      </c>
      <c r="U62" s="1810">
        <v>14900</v>
      </c>
      <c r="V62" s="1785">
        <v>11823</v>
      </c>
      <c r="W62" s="1785">
        <v>14531</v>
      </c>
      <c r="X62" s="1785">
        <v>14052</v>
      </c>
      <c r="Y62" s="1810">
        <v>13723</v>
      </c>
      <c r="Z62" s="1785">
        <v>19975</v>
      </c>
      <c r="AA62" s="1785">
        <v>11861</v>
      </c>
      <c r="AB62" s="1785">
        <v>11610</v>
      </c>
      <c r="AC62" s="1785">
        <v>7890</v>
      </c>
      <c r="AD62" s="1811">
        <v>9533</v>
      </c>
      <c r="AE62" s="1785">
        <v>17508</v>
      </c>
      <c r="AF62" s="1785">
        <v>8721</v>
      </c>
      <c r="AG62" s="1785">
        <v>6975</v>
      </c>
      <c r="AH62" s="1811">
        <v>8215</v>
      </c>
      <c r="AI62" s="1785">
        <v>9418</v>
      </c>
      <c r="AJ62" s="1785">
        <v>9547</v>
      </c>
      <c r="AK62" s="1785">
        <v>8802</v>
      </c>
      <c r="AL62" s="1812">
        <v>7648</v>
      </c>
      <c r="AM62" s="1787">
        <v>7035</v>
      </c>
      <c r="AN62" s="1813">
        <v>8214</v>
      </c>
      <c r="AO62" s="1810">
        <v>8390</v>
      </c>
      <c r="AP62" s="1786">
        <v>29584</v>
      </c>
      <c r="AQ62" s="1633"/>
      <c r="AR62" s="1633"/>
      <c r="AS62" s="1608"/>
      <c r="AT62" s="1633"/>
      <c r="AU62" s="1608"/>
      <c r="AV62" s="1608"/>
      <c r="AW62" s="1633"/>
      <c r="AX62" s="1687"/>
      <c r="AY62" s="1796">
        <v>41088</v>
      </c>
      <c r="AZ62" s="1709">
        <v>47414</v>
      </c>
      <c r="BA62" s="1814">
        <v>-6326</v>
      </c>
      <c r="BB62" s="1623">
        <v>-0.13342050871050745</v>
      </c>
      <c r="BC62" s="1633"/>
      <c r="BD62" s="1702">
        <v>41088</v>
      </c>
      <c r="BE62" s="1793">
        <v>47414</v>
      </c>
      <c r="BF62" s="1793">
        <v>50843</v>
      </c>
      <c r="BG62" s="1793">
        <v>54129</v>
      </c>
      <c r="BH62" s="1793">
        <v>51336</v>
      </c>
      <c r="BI62" s="1815">
        <v>62551</v>
      </c>
      <c r="BJ62" s="1815">
        <v>51815</v>
      </c>
      <c r="BK62" s="1815">
        <v>48193</v>
      </c>
      <c r="BL62" s="1789">
        <v>44852</v>
      </c>
      <c r="BM62" s="1794">
        <v>45773</v>
      </c>
      <c r="BN62" s="1753">
        <v>41570</v>
      </c>
      <c r="BO62" s="1630"/>
      <c r="BP62" s="1630"/>
      <c r="BQ62" s="1666"/>
    </row>
    <row r="63" spans="1:74" ht="12.75" customHeight="1" x14ac:dyDescent="0.2">
      <c r="A63" s="1635"/>
      <c r="B63" s="969" t="s">
        <v>62</v>
      </c>
      <c r="C63" s="1638">
        <v>-1833</v>
      </c>
      <c r="D63" s="1640">
        <v>-0.11135410971386915</v>
      </c>
      <c r="E63" s="1572"/>
      <c r="F63" s="1593"/>
      <c r="G63" s="1593"/>
      <c r="H63" s="1593"/>
      <c r="I63" s="2341">
        <v>14628</v>
      </c>
      <c r="J63" s="1785">
        <v>2660</v>
      </c>
      <c r="K63" s="1785">
        <v>4961</v>
      </c>
      <c r="L63" s="1785">
        <v>3980</v>
      </c>
      <c r="M63" s="1810">
        <v>16461</v>
      </c>
      <c r="N63" s="1785">
        <v>19115</v>
      </c>
      <c r="O63" s="1785">
        <v>7508</v>
      </c>
      <c r="P63" s="1785">
        <v>34988</v>
      </c>
      <c r="Q63" s="1810">
        <v>23830</v>
      </c>
      <c r="R63" s="1785">
        <v>22757</v>
      </c>
      <c r="S63" s="1785">
        <v>20635</v>
      </c>
      <c r="T63" s="1785">
        <v>7268</v>
      </c>
      <c r="U63" s="1810">
        <v>9096</v>
      </c>
      <c r="V63" s="1785">
        <v>12782</v>
      </c>
      <c r="W63" s="1785">
        <v>14028</v>
      </c>
      <c r="X63" s="1785">
        <v>10698</v>
      </c>
      <c r="Y63" s="1810">
        <v>13191</v>
      </c>
      <c r="Z63" s="1785">
        <v>30213</v>
      </c>
      <c r="AA63" s="1785">
        <v>14404</v>
      </c>
      <c r="AB63" s="1785">
        <v>15551</v>
      </c>
      <c r="AC63" s="1785">
        <v>34712</v>
      </c>
      <c r="AD63" s="1811">
        <v>56010</v>
      </c>
      <c r="AE63" s="1785">
        <v>72232</v>
      </c>
      <c r="AF63" s="1785">
        <v>33469</v>
      </c>
      <c r="AG63" s="1785">
        <v>31749</v>
      </c>
      <c r="AH63" s="1811">
        <v>23306</v>
      </c>
      <c r="AI63" s="1785">
        <v>46294</v>
      </c>
      <c r="AJ63" s="1785">
        <v>16811</v>
      </c>
      <c r="AK63" s="1785">
        <v>19402</v>
      </c>
      <c r="AL63" s="1812">
        <v>15250</v>
      </c>
      <c r="AM63" s="1785">
        <v>4569</v>
      </c>
      <c r="AN63" s="1810">
        <v>12638</v>
      </c>
      <c r="AO63" s="1810">
        <v>17564</v>
      </c>
      <c r="AP63" s="1786">
        <v>0</v>
      </c>
      <c r="AQ63" s="1633">
        <v>0</v>
      </c>
      <c r="AR63" s="1633">
        <v>0</v>
      </c>
      <c r="AS63" s="1608">
        <v>0</v>
      </c>
      <c r="AT63" s="1633">
        <v>0</v>
      </c>
      <c r="AU63" s="1608">
        <v>0</v>
      </c>
      <c r="AV63" s="1608">
        <v>0</v>
      </c>
      <c r="AW63" s="1633">
        <v>0</v>
      </c>
      <c r="AX63" s="1687"/>
      <c r="AY63" s="1796">
        <v>28062</v>
      </c>
      <c r="AZ63" s="1709">
        <v>85441</v>
      </c>
      <c r="BA63" s="1816">
        <v>-57379</v>
      </c>
      <c r="BB63" s="1618">
        <v>-0.67156283283201268</v>
      </c>
      <c r="BC63" s="1633"/>
      <c r="BD63" s="1702">
        <v>28062</v>
      </c>
      <c r="BE63" s="1793">
        <v>85441</v>
      </c>
      <c r="BF63" s="1793">
        <v>59756</v>
      </c>
      <c r="BG63" s="1793">
        <v>50699</v>
      </c>
      <c r="BH63" s="1793">
        <v>94880</v>
      </c>
      <c r="BI63" s="1817">
        <v>194568</v>
      </c>
      <c r="BJ63" s="1817">
        <v>104241</v>
      </c>
      <c r="BK63" s="1817">
        <v>50046</v>
      </c>
      <c r="BL63" s="1795">
        <v>121044</v>
      </c>
      <c r="BM63" s="1799">
        <f>143025-1549-12713</f>
        <v>128763</v>
      </c>
      <c r="BN63" s="1715">
        <f>109202-5303-4636</f>
        <v>99263</v>
      </c>
      <c r="BO63" s="1630"/>
      <c r="BP63" s="1630"/>
      <c r="BQ63" s="1666"/>
    </row>
    <row r="64" spans="1:74" ht="12.75" customHeight="1" x14ac:dyDescent="0.2">
      <c r="A64" s="1635"/>
      <c r="B64" s="969" t="s">
        <v>203</v>
      </c>
      <c r="C64" s="1638">
        <v>18182</v>
      </c>
      <c r="D64" s="1640" t="s">
        <v>42</v>
      </c>
      <c r="E64" s="1572"/>
      <c r="F64" s="1593"/>
      <c r="G64" s="1593"/>
      <c r="H64" s="1593"/>
      <c r="I64" s="2341">
        <v>23195</v>
      </c>
      <c r="J64" s="1785">
        <v>24304</v>
      </c>
      <c r="K64" s="1785">
        <v>16489</v>
      </c>
      <c r="L64" s="1785">
        <v>13610</v>
      </c>
      <c r="M64" s="1810">
        <v>5013</v>
      </c>
      <c r="N64" s="1785">
        <v>15794</v>
      </c>
      <c r="O64" s="1785">
        <v>7872</v>
      </c>
      <c r="P64" s="1785">
        <v>21570</v>
      </c>
      <c r="Q64" s="1810">
        <v>18624</v>
      </c>
      <c r="R64" s="1785">
        <v>5421</v>
      </c>
      <c r="S64" s="1785">
        <v>6438</v>
      </c>
      <c r="T64" s="1785">
        <v>10680</v>
      </c>
      <c r="U64" s="1810">
        <v>7011</v>
      </c>
      <c r="V64" s="1785">
        <v>29695</v>
      </c>
      <c r="W64" s="1785">
        <v>45225</v>
      </c>
      <c r="X64" s="1785">
        <v>8678</v>
      </c>
      <c r="Y64" s="1810">
        <v>5921</v>
      </c>
      <c r="Z64" s="1785">
        <v>16725</v>
      </c>
      <c r="AA64" s="1785">
        <v>27820</v>
      </c>
      <c r="AB64" s="1785">
        <v>16442</v>
      </c>
      <c r="AC64" s="1785">
        <v>17764</v>
      </c>
      <c r="AD64" s="1811">
        <v>19979</v>
      </c>
      <c r="AE64" s="1785">
        <v>19864</v>
      </c>
      <c r="AF64" s="1785">
        <v>8169</v>
      </c>
      <c r="AG64" s="1785">
        <v>14504</v>
      </c>
      <c r="AH64" s="1811">
        <v>1297</v>
      </c>
      <c r="AI64" s="1785">
        <v>1601</v>
      </c>
      <c r="AJ64" s="1785">
        <v>1211</v>
      </c>
      <c r="AK64" s="1785">
        <v>1444</v>
      </c>
      <c r="AL64" s="1812">
        <v>2473</v>
      </c>
      <c r="AM64" s="1785">
        <v>1215</v>
      </c>
      <c r="AN64" s="1810">
        <v>2659</v>
      </c>
      <c r="AO64" s="1810">
        <v>8562</v>
      </c>
      <c r="AP64" s="1786"/>
      <c r="AQ64" s="1633"/>
      <c r="AR64" s="1633"/>
      <c r="AS64" s="1608"/>
      <c r="AT64" s="1633"/>
      <c r="AU64" s="1608"/>
      <c r="AV64" s="1608"/>
      <c r="AW64" s="1633"/>
      <c r="AX64" s="1687"/>
      <c r="AY64" s="1796">
        <v>59416</v>
      </c>
      <c r="AZ64" s="1709">
        <v>63860</v>
      </c>
      <c r="BA64" s="1818">
        <v>-4444</v>
      </c>
      <c r="BB64" s="1618">
        <v>-6.9589727528969622E-2</v>
      </c>
      <c r="BC64" s="1633"/>
      <c r="BD64" s="1702">
        <v>59416</v>
      </c>
      <c r="BE64" s="1793">
        <v>63860</v>
      </c>
      <c r="BF64" s="1793">
        <v>29550</v>
      </c>
      <c r="BG64" s="1793">
        <v>89519</v>
      </c>
      <c r="BH64" s="1793">
        <v>78751</v>
      </c>
      <c r="BI64" s="1817">
        <v>62517</v>
      </c>
      <c r="BJ64" s="1817">
        <v>6277</v>
      </c>
      <c r="BK64" s="1817">
        <v>14909</v>
      </c>
      <c r="BL64" s="1795">
        <v>17584</v>
      </c>
      <c r="BM64" s="1819">
        <f>7195+5518</f>
        <v>12713</v>
      </c>
      <c r="BN64" s="1715">
        <v>4636</v>
      </c>
      <c r="BO64" s="1630"/>
      <c r="BP64" s="1630"/>
      <c r="BQ64" s="1666"/>
    </row>
    <row r="65" spans="1:69" ht="12.75" customHeight="1" x14ac:dyDescent="0.2">
      <c r="A65" s="1635"/>
      <c r="B65" s="969" t="s">
        <v>63</v>
      </c>
      <c r="C65" s="1638">
        <v>1000</v>
      </c>
      <c r="D65" s="1640" t="s">
        <v>42</v>
      </c>
      <c r="E65" s="1572"/>
      <c r="F65" s="1209"/>
      <c r="G65" s="1593"/>
      <c r="H65" s="1593"/>
      <c r="I65" s="2341">
        <v>1090</v>
      </c>
      <c r="J65" s="1322">
        <v>-345</v>
      </c>
      <c r="K65" s="1785">
        <v>389</v>
      </c>
      <c r="L65" s="1785">
        <v>54</v>
      </c>
      <c r="M65" s="1810">
        <v>90</v>
      </c>
      <c r="N65" s="1322">
        <v>-185</v>
      </c>
      <c r="O65" s="1785">
        <v>1548</v>
      </c>
      <c r="P65" s="1785">
        <v>349</v>
      </c>
      <c r="Q65" s="1810">
        <v>761</v>
      </c>
      <c r="R65" s="1785">
        <v>357</v>
      </c>
      <c r="S65" s="1785">
        <v>820</v>
      </c>
      <c r="T65" s="1785">
        <v>459</v>
      </c>
      <c r="U65" s="1810">
        <v>48</v>
      </c>
      <c r="V65" s="1785">
        <v>543</v>
      </c>
      <c r="W65" s="1785">
        <v>493</v>
      </c>
      <c r="X65" s="1785">
        <v>699</v>
      </c>
      <c r="Y65" s="1810">
        <v>397</v>
      </c>
      <c r="Z65" s="1785">
        <v>1761</v>
      </c>
      <c r="AA65" s="1785">
        <v>807</v>
      </c>
      <c r="AB65" s="1322">
        <v>-2981</v>
      </c>
      <c r="AC65" s="1785">
        <v>-405</v>
      </c>
      <c r="AD65" s="1811">
        <v>2915</v>
      </c>
      <c r="AE65" s="1785">
        <v>-373</v>
      </c>
      <c r="AF65" s="1785">
        <v>-659</v>
      </c>
      <c r="AG65" s="1785">
        <v>-262</v>
      </c>
      <c r="AH65" s="1811">
        <v>-115</v>
      </c>
      <c r="AI65" s="1785">
        <v>-132</v>
      </c>
      <c r="AJ65" s="1785">
        <v>-255</v>
      </c>
      <c r="AK65" s="1785">
        <v>-45</v>
      </c>
      <c r="AL65" s="1812">
        <v>-388</v>
      </c>
      <c r="AM65" s="1785">
        <v>-274</v>
      </c>
      <c r="AN65" s="1810">
        <v>-218</v>
      </c>
      <c r="AO65" s="1810">
        <v>-343</v>
      </c>
      <c r="AP65" s="1786">
        <v>5363</v>
      </c>
      <c r="AQ65" s="1633"/>
      <c r="AR65" s="1633"/>
      <c r="AS65" s="1608"/>
      <c r="AT65" s="1633"/>
      <c r="AU65" s="1608"/>
      <c r="AV65" s="1608"/>
      <c r="AW65" s="1633"/>
      <c r="AX65" s="1687"/>
      <c r="AY65" s="1796">
        <v>188</v>
      </c>
      <c r="AZ65" s="1709">
        <v>2473</v>
      </c>
      <c r="BA65" s="1818">
        <v>-2285</v>
      </c>
      <c r="BB65" s="1618">
        <v>-0.92397897290739994</v>
      </c>
      <c r="BC65" s="1633"/>
      <c r="BD65" s="1702">
        <v>188</v>
      </c>
      <c r="BE65" s="1793">
        <v>2473</v>
      </c>
      <c r="BF65" s="1793">
        <v>1684</v>
      </c>
      <c r="BG65" s="1297">
        <v>2132</v>
      </c>
      <c r="BH65" s="1297">
        <v>-818</v>
      </c>
      <c r="BI65" s="1817">
        <v>12833</v>
      </c>
      <c r="BJ65" s="1817">
        <v>12778</v>
      </c>
      <c r="BK65" s="1817">
        <v>8388</v>
      </c>
      <c r="BL65" s="1795">
        <v>-8100</v>
      </c>
      <c r="BM65" s="1799">
        <v>-524</v>
      </c>
      <c r="BN65" s="1715">
        <v>4647</v>
      </c>
      <c r="BO65" s="1630"/>
      <c r="BP65" s="1630"/>
      <c r="BQ65" s="1666"/>
    </row>
    <row r="66" spans="1:69" ht="12.75" customHeight="1" x14ac:dyDescent="0.2">
      <c r="A66" s="1635"/>
      <c r="B66" s="969" t="s">
        <v>64</v>
      </c>
      <c r="C66" s="1638">
        <v>-656</v>
      </c>
      <c r="D66" s="1639">
        <v>-0.61136999068033548</v>
      </c>
      <c r="E66" s="1572"/>
      <c r="F66" s="1593"/>
      <c r="G66" s="2342"/>
      <c r="H66" s="1594"/>
      <c r="I66" s="2341">
        <v>417</v>
      </c>
      <c r="J66" s="1785">
        <v>398</v>
      </c>
      <c r="K66" s="1820">
        <v>605</v>
      </c>
      <c r="L66" s="1788">
        <v>518</v>
      </c>
      <c r="M66" s="1810">
        <v>1073</v>
      </c>
      <c r="N66" s="1785">
        <v>1187</v>
      </c>
      <c r="O66" s="1820">
        <v>1606</v>
      </c>
      <c r="P66" s="1788">
        <v>1106</v>
      </c>
      <c r="Q66" s="1810">
        <v>1329</v>
      </c>
      <c r="R66" s="1785">
        <v>1377</v>
      </c>
      <c r="S66" s="1820">
        <v>1543</v>
      </c>
      <c r="T66" s="1788">
        <v>1807</v>
      </c>
      <c r="U66" s="1810">
        <v>1836</v>
      </c>
      <c r="V66" s="1785">
        <v>1527</v>
      </c>
      <c r="W66" s="1785">
        <v>2091</v>
      </c>
      <c r="X66" s="1785">
        <v>1284</v>
      </c>
      <c r="Y66" s="1810">
        <v>2356</v>
      </c>
      <c r="Z66" s="1785">
        <v>2272</v>
      </c>
      <c r="AA66" s="1785">
        <v>2019</v>
      </c>
      <c r="AB66" s="1785">
        <v>1807</v>
      </c>
      <c r="AC66" s="1785">
        <v>1740</v>
      </c>
      <c r="AD66" s="1811">
        <v>143</v>
      </c>
      <c r="AE66" s="1820">
        <v>99</v>
      </c>
      <c r="AF66" s="1820">
        <v>137</v>
      </c>
      <c r="AG66" s="1785">
        <v>46</v>
      </c>
      <c r="AH66" s="1811">
        <v>102</v>
      </c>
      <c r="AI66" s="1821">
        <v>0</v>
      </c>
      <c r="AJ66" s="1821">
        <v>0</v>
      </c>
      <c r="AK66" s="1785">
        <v>37</v>
      </c>
      <c r="AL66" s="1812">
        <v>50</v>
      </c>
      <c r="AM66" s="1785">
        <v>93</v>
      </c>
      <c r="AN66" s="1810">
        <v>168</v>
      </c>
      <c r="AO66" s="1810">
        <v>178</v>
      </c>
      <c r="AP66" s="1786">
        <v>-3063</v>
      </c>
      <c r="AQ66" s="1633">
        <v>42952</v>
      </c>
      <c r="AR66" s="1633">
        <v>39210</v>
      </c>
      <c r="AS66" s="1608">
        <v>62549</v>
      </c>
      <c r="AT66" s="1633">
        <v>57382</v>
      </c>
      <c r="AU66" s="1608">
        <v>48897</v>
      </c>
      <c r="AV66" s="1608">
        <v>38533</v>
      </c>
      <c r="AW66" s="1633">
        <v>42750</v>
      </c>
      <c r="AX66" s="1687"/>
      <c r="AY66" s="1796">
        <v>2594</v>
      </c>
      <c r="AZ66" s="1709">
        <v>5228</v>
      </c>
      <c r="BA66" s="1822">
        <v>-2634</v>
      </c>
      <c r="BB66" s="1618">
        <v>-0.50382555470543233</v>
      </c>
      <c r="BC66" s="1633"/>
      <c r="BD66" s="1702">
        <v>2594</v>
      </c>
      <c r="BE66" s="1793">
        <v>5228</v>
      </c>
      <c r="BF66" s="1793">
        <v>6563</v>
      </c>
      <c r="BG66" s="1793">
        <v>7258</v>
      </c>
      <c r="BH66" s="1793">
        <v>7838</v>
      </c>
      <c r="BI66" s="1817">
        <v>5809</v>
      </c>
      <c r="BJ66" s="1817">
        <v>2053</v>
      </c>
      <c r="BK66" s="1817">
        <v>1310</v>
      </c>
      <c r="BL66" s="1795">
        <v>942</v>
      </c>
      <c r="BM66" s="1799">
        <v>543</v>
      </c>
      <c r="BN66" s="1715">
        <v>236</v>
      </c>
      <c r="BO66" s="1630"/>
      <c r="BP66" s="1630"/>
      <c r="BQ66" s="1666"/>
    </row>
    <row r="67" spans="1:69" ht="12.75" customHeight="1" x14ac:dyDescent="0.2">
      <c r="A67" s="1636"/>
      <c r="B67" s="969" t="s">
        <v>65</v>
      </c>
      <c r="C67" s="1638">
        <v>-68</v>
      </c>
      <c r="D67" s="1639">
        <v>-1.3333333333333333</v>
      </c>
      <c r="E67" s="1596"/>
      <c r="F67" s="2235"/>
      <c r="G67" s="2342"/>
      <c r="H67" s="1575"/>
      <c r="I67" s="2287">
        <v>-17</v>
      </c>
      <c r="J67" s="1102">
        <v>0</v>
      </c>
      <c r="K67" s="1820">
        <v>-8</v>
      </c>
      <c r="L67" s="1694">
        <v>8</v>
      </c>
      <c r="M67" s="1810">
        <v>51</v>
      </c>
      <c r="N67" s="1785">
        <v>63</v>
      </c>
      <c r="O67" s="1820">
        <v>36</v>
      </c>
      <c r="P67" s="1694">
        <v>35</v>
      </c>
      <c r="Q67" s="1810">
        <v>35</v>
      </c>
      <c r="R67" s="1785">
        <v>34</v>
      </c>
      <c r="S67" s="1820">
        <v>26</v>
      </c>
      <c r="T67" s="1694">
        <v>39</v>
      </c>
      <c r="U67" s="1810">
        <v>19</v>
      </c>
      <c r="V67" s="1785">
        <v>444</v>
      </c>
      <c r="W67" s="1785">
        <v>86</v>
      </c>
      <c r="X67" s="1785">
        <v>34</v>
      </c>
      <c r="Y67" s="1810">
        <v>36</v>
      </c>
      <c r="Z67" s="1785">
        <v>60</v>
      </c>
      <c r="AA67" s="1785">
        <v>31</v>
      </c>
      <c r="AB67" s="1785">
        <v>62</v>
      </c>
      <c r="AC67" s="1785">
        <v>166</v>
      </c>
      <c r="AD67" s="1811">
        <v>52</v>
      </c>
      <c r="AE67" s="1820">
        <v>74</v>
      </c>
      <c r="AF67" s="1823">
        <v>72</v>
      </c>
      <c r="AG67" s="1803">
        <v>45</v>
      </c>
      <c r="AH67" s="1811">
        <v>1</v>
      </c>
      <c r="AI67" s="1821">
        <v>0</v>
      </c>
      <c r="AJ67" s="1824">
        <v>0</v>
      </c>
      <c r="AK67" s="1803">
        <v>414</v>
      </c>
      <c r="AL67" s="1825">
        <v>0</v>
      </c>
      <c r="AM67" s="1803">
        <v>1</v>
      </c>
      <c r="AN67" s="1826">
        <v>0</v>
      </c>
      <c r="AO67" s="1827">
        <v>1</v>
      </c>
      <c r="AP67" s="1804">
        <v>60</v>
      </c>
      <c r="AQ67" s="1662"/>
      <c r="AR67" s="1662"/>
      <c r="AS67" s="1662"/>
      <c r="AT67" s="1662"/>
      <c r="AU67" s="1662"/>
      <c r="AV67" s="1662"/>
      <c r="AW67" s="1662"/>
      <c r="AX67" s="1687"/>
      <c r="AY67" s="1796">
        <v>51</v>
      </c>
      <c r="AZ67" s="1709">
        <v>169</v>
      </c>
      <c r="BA67" s="1822">
        <v>-118</v>
      </c>
      <c r="BB67" s="1798">
        <v>-0.69822485207100593</v>
      </c>
      <c r="BC67" s="1635"/>
      <c r="BD67" s="1702">
        <v>51</v>
      </c>
      <c r="BE67" s="1793">
        <v>169</v>
      </c>
      <c r="BF67" s="1793">
        <v>118</v>
      </c>
      <c r="BG67" s="1793">
        <v>600</v>
      </c>
      <c r="BH67" s="1793">
        <v>319</v>
      </c>
      <c r="BI67" s="1828">
        <v>242</v>
      </c>
      <c r="BJ67" s="1828">
        <v>417</v>
      </c>
      <c r="BK67" s="1828">
        <v>4</v>
      </c>
      <c r="BL67" s="1800">
        <v>333</v>
      </c>
      <c r="BM67" s="1801">
        <v>294</v>
      </c>
      <c r="BN67" s="1802">
        <v>118</v>
      </c>
      <c r="BO67" s="1630"/>
      <c r="BP67" s="1630"/>
      <c r="BQ67" s="1666"/>
    </row>
    <row r="68" spans="1:69" ht="12.75" customHeight="1" x14ac:dyDescent="0.2">
      <c r="A68" s="1636"/>
      <c r="B68" s="969"/>
      <c r="C68" s="1647">
        <v>14556</v>
      </c>
      <c r="D68" s="1648">
        <v>0.423928238583411</v>
      </c>
      <c r="E68" s="1597"/>
      <c r="F68" s="1598">
        <v>0</v>
      </c>
      <c r="G68" s="1598">
        <v>0</v>
      </c>
      <c r="H68" s="1598">
        <v>0</v>
      </c>
      <c r="I68" s="2344">
        <v>48892</v>
      </c>
      <c r="J68" s="1829">
        <v>39106</v>
      </c>
      <c r="K68" s="1829">
        <v>33199</v>
      </c>
      <c r="L68" s="1829">
        <v>24758</v>
      </c>
      <c r="M68" s="1830">
        <v>34336</v>
      </c>
      <c r="N68" s="1829">
        <v>48292</v>
      </c>
      <c r="O68" s="1829">
        <v>29192</v>
      </c>
      <c r="P68" s="1829">
        <v>68913</v>
      </c>
      <c r="Q68" s="1830">
        <v>58188</v>
      </c>
      <c r="R68" s="1829">
        <v>43057</v>
      </c>
      <c r="S68" s="1829">
        <v>41283</v>
      </c>
      <c r="T68" s="1829">
        <v>31264</v>
      </c>
      <c r="U68" s="1830">
        <v>32910</v>
      </c>
      <c r="V68" s="1829">
        <v>56814</v>
      </c>
      <c r="W68" s="1829">
        <v>76454</v>
      </c>
      <c r="X68" s="1829">
        <v>35445</v>
      </c>
      <c r="Y68" s="1830">
        <v>35624</v>
      </c>
      <c r="Z68" s="1829">
        <v>71006</v>
      </c>
      <c r="AA68" s="1829">
        <v>56942</v>
      </c>
      <c r="AB68" s="1829">
        <v>42491</v>
      </c>
      <c r="AC68" s="1829">
        <v>61867</v>
      </c>
      <c r="AD68" s="1831">
        <v>88632</v>
      </c>
      <c r="AE68" s="1829">
        <v>109404</v>
      </c>
      <c r="AF68" s="1829">
        <v>49909</v>
      </c>
      <c r="AG68" s="1829">
        <v>53057</v>
      </c>
      <c r="AH68" s="1831">
        <v>32806</v>
      </c>
      <c r="AI68" s="1829">
        <v>57181</v>
      </c>
      <c r="AJ68" s="1829">
        <v>27314</v>
      </c>
      <c r="AK68" s="1829">
        <v>30054</v>
      </c>
      <c r="AL68" s="1831">
        <v>25033</v>
      </c>
      <c r="AM68" s="1829">
        <v>12639</v>
      </c>
      <c r="AN68" s="1830">
        <v>23461</v>
      </c>
      <c r="AO68" s="1830">
        <v>34352</v>
      </c>
      <c r="AP68" s="1830">
        <v>31944</v>
      </c>
      <c r="AQ68" s="1606"/>
      <c r="AR68" s="1606"/>
      <c r="AS68" s="1606"/>
      <c r="AT68" s="1606"/>
      <c r="AU68" s="1606"/>
      <c r="AV68" s="1606"/>
      <c r="AW68" s="1606"/>
      <c r="AX68" s="1832"/>
      <c r="AY68" s="1829">
        <v>131399</v>
      </c>
      <c r="AZ68" s="1829">
        <v>204585</v>
      </c>
      <c r="BA68" s="1833">
        <v>-73186</v>
      </c>
      <c r="BB68" s="1834">
        <v>-0.35772906127037662</v>
      </c>
      <c r="BD68" s="2027">
        <v>131399</v>
      </c>
      <c r="BE68" s="1835">
        <v>204585</v>
      </c>
      <c r="BF68" s="1835">
        <v>148514</v>
      </c>
      <c r="BG68" s="1835">
        <v>204337</v>
      </c>
      <c r="BH68" s="1835">
        <v>232306</v>
      </c>
      <c r="BI68" s="1835">
        <v>338520</v>
      </c>
      <c r="BJ68" s="1835">
        <v>177581</v>
      </c>
      <c r="BK68" s="1836">
        <v>122850</v>
      </c>
      <c r="BL68" s="1836">
        <f>SUM(BL62:BL67)</f>
        <v>176655</v>
      </c>
      <c r="BM68" s="1836">
        <f>SUM(BM62:BM67)</f>
        <v>187562</v>
      </c>
      <c r="BN68" s="1836">
        <f>SUM(BN62:BN67)</f>
        <v>150470</v>
      </c>
      <c r="BO68" s="1630"/>
      <c r="BP68" s="1630"/>
    </row>
    <row r="69" spans="1:69" ht="12.75" customHeight="1" x14ac:dyDescent="0.2">
      <c r="A69" s="1636"/>
      <c r="B69" s="969"/>
      <c r="C69" s="1641"/>
      <c r="D69" s="1649"/>
      <c r="E69" s="1597"/>
      <c r="F69" s="1599"/>
      <c r="G69" s="2345"/>
      <c r="H69" s="2345"/>
      <c r="I69" s="2339"/>
      <c r="J69" s="1838"/>
      <c r="K69" s="1837"/>
      <c r="L69" s="1837"/>
      <c r="M69" s="1804"/>
      <c r="N69" s="1838"/>
      <c r="O69" s="1837"/>
      <c r="P69" s="1837"/>
      <c r="Q69" s="1804"/>
      <c r="R69" s="1838"/>
      <c r="S69" s="1837"/>
      <c r="T69" s="1837"/>
      <c r="U69" s="1804"/>
      <c r="V69" s="1838"/>
      <c r="W69" s="1837"/>
      <c r="X69" s="1837"/>
      <c r="Y69" s="1804"/>
      <c r="Z69" s="1838"/>
      <c r="AA69" s="1829"/>
      <c r="AB69" s="1837"/>
      <c r="AC69" s="1837"/>
      <c r="AD69" s="1839"/>
      <c r="AE69" s="1837"/>
      <c r="AF69" s="1837"/>
      <c r="AG69" s="1837"/>
      <c r="AH69" s="1839"/>
      <c r="AI69" s="1837"/>
      <c r="AJ69" s="1837"/>
      <c r="AK69" s="1837"/>
      <c r="AL69" s="1838"/>
      <c r="AM69" s="1838"/>
      <c r="AN69" s="1838"/>
      <c r="AO69" s="1838"/>
      <c r="AP69" s="1838"/>
      <c r="AQ69" s="1606"/>
      <c r="AR69" s="1606"/>
      <c r="AS69" s="1606"/>
      <c r="AT69" s="1606"/>
      <c r="AU69" s="1606"/>
      <c r="AV69" s="1606"/>
      <c r="AW69" s="1606"/>
      <c r="AX69" s="1832"/>
      <c r="AY69" s="1837"/>
      <c r="AZ69" s="1837"/>
      <c r="BA69" s="1840"/>
      <c r="BB69" s="1841"/>
      <c r="BD69" s="1842"/>
      <c r="BE69" s="1842"/>
      <c r="BF69" s="1842"/>
      <c r="BG69" s="1842"/>
      <c r="BH69" s="1842"/>
      <c r="BI69" s="1842"/>
      <c r="BJ69" s="1842"/>
      <c r="BK69" s="1843"/>
      <c r="BL69" s="1843"/>
      <c r="BM69" s="1843"/>
      <c r="BN69" s="1844"/>
      <c r="BO69" s="1630"/>
      <c r="BP69" s="1630"/>
    </row>
    <row r="70" spans="1:69" ht="12.75" customHeight="1" x14ac:dyDescent="0.2">
      <c r="A70" s="1608"/>
      <c r="B70" s="969" t="s">
        <v>412</v>
      </c>
      <c r="C70" s="1650">
        <v>-2008</v>
      </c>
      <c r="D70" s="1651">
        <v>-2.2311111111111113</v>
      </c>
      <c r="E70" s="1600"/>
      <c r="F70" s="1601"/>
      <c r="G70" s="2346"/>
      <c r="H70" s="1601"/>
      <c r="I70" s="2364">
        <v>-2908</v>
      </c>
      <c r="J70" s="1845">
        <v>-1433</v>
      </c>
      <c r="K70" s="2225">
        <v>-1260</v>
      </c>
      <c r="L70" s="1845">
        <v>-5130</v>
      </c>
      <c r="M70" s="1343">
        <v>-900</v>
      </c>
      <c r="N70" s="1845">
        <v>-1170</v>
      </c>
      <c r="O70" s="1845">
        <v>-2682</v>
      </c>
      <c r="P70" s="1845">
        <v>-2420</v>
      </c>
      <c r="Q70" s="1343">
        <v>-1205</v>
      </c>
      <c r="R70" s="1845">
        <v>-2787</v>
      </c>
      <c r="S70" s="1845">
        <v>-1885</v>
      </c>
      <c r="T70" s="1845">
        <v>-3642</v>
      </c>
      <c r="U70" s="1343">
        <v>-1755</v>
      </c>
      <c r="V70" s="1845">
        <v>-4119</v>
      </c>
      <c r="W70" s="1845">
        <v>-2879</v>
      </c>
      <c r="X70" s="1845">
        <v>-1301</v>
      </c>
      <c r="Y70" s="1846">
        <v>-3367</v>
      </c>
      <c r="Z70" s="1845">
        <v>-218</v>
      </c>
      <c r="AA70" s="1845">
        <v>-4844</v>
      </c>
      <c r="AB70" s="1845">
        <v>-6322</v>
      </c>
      <c r="AC70" s="1846">
        <v>-10795</v>
      </c>
      <c r="AD70" s="1847">
        <v>-9261</v>
      </c>
      <c r="AE70" s="1848">
        <v>-1134</v>
      </c>
      <c r="AF70" s="1848">
        <v>-5070</v>
      </c>
      <c r="AG70" s="1849">
        <v>-6918</v>
      </c>
      <c r="AH70" s="1850" t="s">
        <v>177</v>
      </c>
      <c r="AI70" s="1851" t="s">
        <v>177</v>
      </c>
      <c r="AJ70" s="1852" t="s">
        <v>177</v>
      </c>
      <c r="AK70" s="1852" t="s">
        <v>177</v>
      </c>
      <c r="AL70" s="1853"/>
      <c r="AM70" s="1853"/>
      <c r="AN70" s="1853"/>
      <c r="AO70" s="1853"/>
      <c r="AP70" s="1853"/>
      <c r="AQ70" s="1854"/>
      <c r="AR70" s="1854"/>
      <c r="AS70" s="1854"/>
      <c r="AT70" s="1854"/>
      <c r="AU70" s="1854"/>
      <c r="AV70" s="1854"/>
      <c r="AW70" s="1854"/>
      <c r="AX70" s="1855"/>
      <c r="AY70" s="1302">
        <v>-8723</v>
      </c>
      <c r="AZ70" s="1302">
        <v>-7477</v>
      </c>
      <c r="BA70" s="1302">
        <v>-1246</v>
      </c>
      <c r="BB70" s="1856">
        <v>-0.16664437608666577</v>
      </c>
      <c r="BC70" s="1857"/>
      <c r="BD70" s="1551">
        <v>-8723</v>
      </c>
      <c r="BE70" s="1858">
        <v>-7477</v>
      </c>
      <c r="BF70" s="1858">
        <v>-10069</v>
      </c>
      <c r="BG70" s="1858">
        <v>-11666</v>
      </c>
      <c r="BH70" s="1858">
        <v>-22179</v>
      </c>
      <c r="BI70" s="1858">
        <v>-22383</v>
      </c>
      <c r="BJ70" s="1858" t="s">
        <v>177</v>
      </c>
      <c r="BK70" s="1859" t="s">
        <v>177</v>
      </c>
      <c r="BL70" s="1858" t="s">
        <v>177</v>
      </c>
      <c r="BM70" s="1858" t="s">
        <v>177</v>
      </c>
      <c r="BN70" s="1860"/>
      <c r="BO70" s="1861"/>
      <c r="BP70" s="1861"/>
      <c r="BQ70" s="1862"/>
    </row>
    <row r="71" spans="1:69" x14ac:dyDescent="0.2">
      <c r="K71" s="1863"/>
      <c r="L71" s="1863"/>
      <c r="M71" s="1627"/>
      <c r="O71" s="1863"/>
      <c r="P71" s="1863"/>
      <c r="Q71" s="1627"/>
      <c r="S71" s="1863"/>
      <c r="T71" s="1863"/>
      <c r="U71" s="1627"/>
      <c r="W71" s="1863"/>
      <c r="X71" s="1863"/>
      <c r="Y71" s="1627"/>
      <c r="AB71" s="1863"/>
      <c r="AC71" s="1627"/>
      <c r="AG71" s="1627"/>
      <c r="AK71" s="1627"/>
      <c r="AO71" s="1627"/>
      <c r="AW71" s="1627"/>
      <c r="AY71" s="1603"/>
      <c r="AZ71" s="1603"/>
      <c r="BL71" s="1627"/>
      <c r="BM71" s="1627"/>
    </row>
    <row r="72" spans="1:69" x14ac:dyDescent="0.2">
      <c r="A72" s="969" t="s">
        <v>381</v>
      </c>
      <c r="J72" s="1627"/>
      <c r="K72" s="1627"/>
      <c r="L72" s="1627"/>
      <c r="M72" s="1627"/>
      <c r="N72" s="1627"/>
      <c r="O72" s="1627"/>
      <c r="P72" s="1627"/>
      <c r="Q72" s="1627"/>
      <c r="R72" s="1627"/>
      <c r="S72" s="1627"/>
      <c r="T72" s="1627"/>
      <c r="U72" s="1627"/>
      <c r="V72" s="1627"/>
      <c r="W72" s="1627"/>
      <c r="X72" s="1627"/>
      <c r="Y72" s="1627"/>
      <c r="Z72" s="1627"/>
      <c r="AA72" s="1627"/>
      <c r="AB72" s="1627"/>
      <c r="AC72" s="1627"/>
      <c r="AD72" s="1627"/>
      <c r="AE72" s="1627"/>
      <c r="AF72" s="1627"/>
      <c r="AG72" s="1627"/>
      <c r="AH72" s="1627"/>
      <c r="AI72" s="1627"/>
      <c r="AJ72" s="1627"/>
      <c r="AK72" s="1627"/>
      <c r="AL72" s="1627"/>
      <c r="AM72" s="1627"/>
      <c r="AN72" s="1627"/>
      <c r="AO72" s="1627"/>
      <c r="AP72" s="1627"/>
      <c r="AQ72" s="1627"/>
      <c r="AR72" s="1627"/>
      <c r="AS72" s="1627"/>
      <c r="AT72" s="1627"/>
      <c r="AU72" s="1627"/>
      <c r="AV72" s="1627"/>
      <c r="AW72" s="1627"/>
      <c r="AX72" s="1627"/>
      <c r="AY72" s="1627"/>
      <c r="AZ72" s="1627"/>
      <c r="BA72" s="1701"/>
      <c r="BB72" s="1701"/>
      <c r="BC72" s="1627"/>
      <c r="BD72" s="1627"/>
      <c r="BE72" s="1627"/>
      <c r="BF72" s="1627"/>
      <c r="BG72" s="1627"/>
      <c r="BH72" s="1627"/>
      <c r="BI72" s="1627"/>
      <c r="BJ72" s="1627"/>
      <c r="BK72" s="1627"/>
      <c r="BL72" s="1627"/>
      <c r="BM72" s="1627"/>
      <c r="BN72" s="1627"/>
    </row>
    <row r="73" spans="1:69" x14ac:dyDescent="0.2">
      <c r="A73" s="989" t="s">
        <v>29</v>
      </c>
      <c r="J73" s="1652"/>
      <c r="K73" s="1652"/>
      <c r="L73" s="1652"/>
      <c r="M73" s="1652"/>
      <c r="N73" s="1652"/>
      <c r="O73" s="1652"/>
      <c r="P73" s="1652"/>
      <c r="Q73" s="1652"/>
      <c r="R73" s="1652"/>
      <c r="S73" s="1652"/>
      <c r="T73" s="1652"/>
      <c r="U73" s="1652"/>
      <c r="V73" s="1652"/>
      <c r="W73" s="1652"/>
      <c r="X73" s="1652"/>
      <c r="Y73" s="1652"/>
      <c r="Z73" s="1652"/>
      <c r="AA73" s="1652"/>
      <c r="AB73" s="1652"/>
      <c r="AC73" s="1652"/>
      <c r="AD73" s="1652"/>
      <c r="AE73" s="1652"/>
      <c r="AF73" s="1652"/>
      <c r="AG73" s="1652"/>
      <c r="AH73" s="1652"/>
      <c r="AI73" s="1652"/>
      <c r="AJ73" s="1652"/>
      <c r="AK73" s="1652"/>
      <c r="AL73" s="1652"/>
      <c r="AM73" s="1652"/>
      <c r="AN73" s="1652"/>
      <c r="AO73" s="1652"/>
      <c r="AP73" s="1652"/>
      <c r="AQ73" s="1652"/>
      <c r="AR73" s="1652"/>
      <c r="AS73" s="1652"/>
      <c r="AT73" s="1652"/>
      <c r="AU73" s="1652"/>
      <c r="AV73" s="1652"/>
      <c r="AW73" s="1652"/>
      <c r="AX73" s="1652"/>
      <c r="AY73" s="1652"/>
      <c r="AZ73" s="1652"/>
      <c r="BA73" s="1652"/>
      <c r="BB73" s="1652"/>
      <c r="BC73" s="1652"/>
      <c r="BD73" s="1652"/>
      <c r="BE73" s="1652"/>
      <c r="BF73" s="1652"/>
      <c r="BG73" s="1652"/>
      <c r="BH73" s="1652"/>
      <c r="BI73" s="1652"/>
      <c r="BJ73" s="1652"/>
      <c r="BK73" s="1652"/>
      <c r="BL73" s="1652"/>
      <c r="BM73" s="1652"/>
      <c r="BN73" s="1652"/>
      <c r="BO73" s="1652"/>
      <c r="BP73" s="1652"/>
      <c r="BQ73" s="1652">
        <f>BQ72-BQ68</f>
        <v>0</v>
      </c>
    </row>
    <row r="74" spans="1:69" x14ac:dyDescent="0.2">
      <c r="A74" s="964"/>
      <c r="K74" s="1652"/>
      <c r="L74" s="1652"/>
      <c r="M74" s="1652"/>
      <c r="O74" s="1652"/>
      <c r="P74" s="1652"/>
      <c r="Q74" s="1652"/>
      <c r="S74" s="1652"/>
      <c r="T74" s="1652"/>
      <c r="U74" s="1652"/>
      <c r="W74" s="1652"/>
      <c r="X74" s="1652"/>
      <c r="Y74" s="1652"/>
      <c r="AB74" s="1652"/>
      <c r="AC74" s="1652"/>
      <c r="AG74" s="1652"/>
      <c r="AK74" s="1652"/>
      <c r="AL74" s="1652"/>
      <c r="AM74" s="1652"/>
      <c r="AN74" s="1652"/>
      <c r="AO74" s="1652"/>
      <c r="AP74" s="1652"/>
      <c r="AQ74" s="1652"/>
      <c r="AR74" s="1652"/>
      <c r="AS74" s="1652"/>
      <c r="AT74" s="1652"/>
      <c r="AU74" s="1652"/>
      <c r="AV74" s="1652"/>
      <c r="AW74" s="1652"/>
      <c r="AX74" s="1652"/>
      <c r="AY74" s="1652"/>
      <c r="AZ74" s="1652"/>
      <c r="BA74" s="1864"/>
      <c r="BB74" s="1864"/>
      <c r="BC74" s="1652"/>
      <c r="BD74" s="1652"/>
      <c r="BE74" s="1652"/>
      <c r="BF74" s="1652"/>
      <c r="BG74" s="1652"/>
      <c r="BH74" s="1652"/>
      <c r="BI74" s="1652"/>
      <c r="BJ74" s="1652"/>
      <c r="BK74" s="1652"/>
      <c r="BL74" s="1652"/>
      <c r="BM74" s="1865"/>
      <c r="BN74" s="1865"/>
    </row>
    <row r="75" spans="1:69" x14ac:dyDescent="0.2">
      <c r="A75" s="969" t="s">
        <v>310</v>
      </c>
      <c r="J75" s="1652"/>
      <c r="K75" s="1652"/>
      <c r="L75" s="1652"/>
      <c r="M75" s="1652"/>
      <c r="N75" s="1652"/>
      <c r="O75" s="1652"/>
      <c r="P75" s="1652"/>
      <c r="Q75" s="1652"/>
      <c r="R75" s="1652"/>
      <c r="S75" s="1652"/>
      <c r="T75" s="1652"/>
      <c r="U75" s="1652"/>
      <c r="V75" s="1652"/>
      <c r="W75" s="1652"/>
      <c r="X75" s="1652"/>
      <c r="Y75" s="1652"/>
      <c r="Z75" s="1652"/>
      <c r="AA75" s="1652"/>
      <c r="AB75" s="1652"/>
      <c r="AC75" s="1652"/>
      <c r="AD75" s="1652"/>
      <c r="AE75" s="1652"/>
      <c r="AF75" s="1652"/>
      <c r="AG75" s="1652"/>
      <c r="AH75" s="1652"/>
      <c r="AI75" s="1652"/>
      <c r="AJ75" s="1652"/>
      <c r="AK75" s="1652"/>
      <c r="AL75" s="1652"/>
      <c r="AM75" s="1652"/>
      <c r="AN75" s="1652"/>
      <c r="AO75" s="1652"/>
      <c r="AP75" s="1652"/>
      <c r="AQ75" s="1652"/>
      <c r="AR75" s="1652"/>
      <c r="AS75" s="1652"/>
      <c r="AT75" s="1652"/>
      <c r="AU75" s="1652"/>
      <c r="AV75" s="1652"/>
      <c r="AW75" s="1652"/>
      <c r="AX75" s="1652"/>
      <c r="AY75" s="1652"/>
      <c r="AZ75" s="1652"/>
      <c r="BA75" s="1864"/>
      <c r="BB75" s="1864"/>
      <c r="BC75" s="1652"/>
      <c r="BD75" s="1652"/>
      <c r="BE75" s="1652"/>
      <c r="BF75" s="1652"/>
      <c r="BG75" s="1652"/>
      <c r="BH75" s="1652"/>
      <c r="BI75" s="1652"/>
      <c r="BJ75" s="1652"/>
      <c r="BK75" s="1652"/>
      <c r="BL75" s="1652"/>
      <c r="BM75" s="1652"/>
      <c r="BN75" s="1652"/>
    </row>
    <row r="76" spans="1:69" x14ac:dyDescent="0.2">
      <c r="J76" s="1652"/>
      <c r="K76" s="1652"/>
      <c r="L76" s="1652"/>
      <c r="M76" s="1652"/>
      <c r="N76" s="1652"/>
      <c r="O76" s="1652"/>
      <c r="P76" s="1652"/>
      <c r="Q76" s="1652"/>
      <c r="R76" s="1652"/>
      <c r="S76" s="1652"/>
      <c r="T76" s="1652"/>
      <c r="U76" s="1652"/>
      <c r="V76" s="1652"/>
      <c r="W76" s="1652"/>
      <c r="X76" s="1652"/>
      <c r="Y76" s="1652"/>
      <c r="Z76" s="1652"/>
      <c r="AA76" s="1652"/>
      <c r="AB76" s="1652"/>
      <c r="AC76" s="1652"/>
      <c r="AD76" s="1652"/>
      <c r="AE76" s="1652"/>
      <c r="AF76" s="1652"/>
      <c r="AG76" s="1652"/>
      <c r="AH76" s="1652"/>
      <c r="AI76" s="1652"/>
      <c r="AJ76" s="1652"/>
      <c r="AK76" s="1652"/>
      <c r="AL76" s="1652"/>
      <c r="AM76" s="1652"/>
      <c r="AN76" s="1652"/>
      <c r="AO76" s="1652"/>
      <c r="AP76" s="1652"/>
      <c r="AQ76" s="1652"/>
      <c r="AR76" s="1652"/>
      <c r="AS76" s="1652"/>
      <c r="AT76" s="1652"/>
      <c r="AU76" s="1652"/>
      <c r="AV76" s="1652"/>
      <c r="AW76" s="1652"/>
      <c r="AX76" s="1652"/>
      <c r="AY76" s="1652"/>
      <c r="AZ76" s="1652"/>
      <c r="BA76" s="1864"/>
      <c r="BB76" s="1864"/>
      <c r="BC76" s="1652"/>
      <c r="BD76" s="1652"/>
      <c r="BE76" s="1652"/>
      <c r="BF76" s="1652"/>
      <c r="BG76" s="1652"/>
      <c r="BH76" s="1652"/>
      <c r="BI76" s="1652"/>
      <c r="BJ76" s="1652"/>
      <c r="BK76" s="1652"/>
      <c r="BL76" s="1652"/>
      <c r="BM76" s="1652"/>
      <c r="BN76" s="1652"/>
    </row>
    <row r="77" spans="1:69" x14ac:dyDescent="0.2">
      <c r="A77" s="1603"/>
      <c r="B77" s="1603"/>
      <c r="C77" s="1603"/>
      <c r="D77" s="1603"/>
      <c r="J77" s="1866"/>
      <c r="K77" s="1866"/>
      <c r="L77" s="1866"/>
      <c r="M77" s="1866"/>
      <c r="N77" s="1866"/>
      <c r="O77" s="1866"/>
      <c r="P77" s="1866"/>
      <c r="Q77" s="1866"/>
      <c r="R77" s="1866"/>
      <c r="S77" s="1866"/>
      <c r="T77" s="1866"/>
      <c r="U77" s="1866"/>
      <c r="V77" s="1866"/>
      <c r="W77" s="1866"/>
      <c r="X77" s="1866"/>
      <c r="Y77" s="1866"/>
      <c r="Z77" s="1866"/>
      <c r="AA77" s="1866"/>
      <c r="AB77" s="1866"/>
      <c r="AC77" s="1866"/>
      <c r="AD77" s="1866"/>
      <c r="AE77" s="1866"/>
      <c r="AF77" s="1866"/>
      <c r="AG77" s="1866"/>
      <c r="AH77" s="1866"/>
      <c r="AI77" s="1866"/>
      <c r="AJ77" s="1866"/>
      <c r="AK77" s="1866"/>
      <c r="AL77" s="1866"/>
      <c r="AM77" s="1866"/>
      <c r="AN77" s="1866"/>
      <c r="AO77" s="1866"/>
      <c r="AP77" s="1866"/>
      <c r="AQ77" s="1866"/>
      <c r="AR77" s="1866"/>
      <c r="AS77" s="1866"/>
      <c r="AT77" s="1866"/>
      <c r="AU77" s="1866"/>
      <c r="AV77" s="1866"/>
      <c r="AW77" s="1866"/>
      <c r="AX77" s="1866"/>
      <c r="AY77" s="1866"/>
      <c r="AZ77" s="1866"/>
      <c r="BA77" s="1867"/>
      <c r="BB77" s="1867"/>
      <c r="BC77" s="1866"/>
      <c r="BD77" s="1866"/>
      <c r="BE77" s="1866"/>
      <c r="BF77" s="1866"/>
      <c r="BG77" s="1866"/>
      <c r="BH77" s="1866"/>
      <c r="BI77" s="1866"/>
      <c r="BJ77" s="1866"/>
      <c r="BK77" s="1866"/>
      <c r="BL77" s="1866"/>
      <c r="BM77" s="1866"/>
      <c r="BN77" s="1866"/>
    </row>
    <row r="78" spans="1:69" x14ac:dyDescent="0.2">
      <c r="AO78" s="1603"/>
      <c r="AP78" s="1603"/>
      <c r="AQ78" s="1603"/>
      <c r="AR78" s="1603"/>
      <c r="AS78" s="1603"/>
      <c r="AT78" s="1603"/>
      <c r="AU78" s="1603"/>
      <c r="AV78" s="1603"/>
      <c r="AW78" s="1603"/>
      <c r="AX78" s="1603"/>
      <c r="AY78" s="1603"/>
      <c r="AZ78" s="1603"/>
      <c r="BA78" s="1657"/>
      <c r="BB78" s="1657"/>
      <c r="BC78" s="1603"/>
      <c r="BD78" s="1603"/>
      <c r="BE78" s="1603"/>
      <c r="BF78" s="1603"/>
      <c r="BG78" s="1603"/>
      <c r="BH78" s="1603"/>
      <c r="BI78" s="1603"/>
      <c r="BJ78" s="1603"/>
      <c r="BK78" s="1603"/>
      <c r="BL78" s="1603"/>
      <c r="BM78" s="1603"/>
      <c r="BN78" s="1603"/>
    </row>
    <row r="79" spans="1:69" x14ac:dyDescent="0.2">
      <c r="J79" s="1652"/>
      <c r="K79" s="1652"/>
      <c r="L79" s="1652"/>
      <c r="M79" s="1652"/>
      <c r="N79" s="1652"/>
      <c r="O79" s="1652"/>
      <c r="P79" s="1652"/>
      <c r="Q79" s="1652"/>
      <c r="R79" s="1652"/>
      <c r="S79" s="1652"/>
      <c r="T79" s="1652"/>
      <c r="U79" s="1652"/>
      <c r="V79" s="1652"/>
      <c r="W79" s="1652"/>
      <c r="X79" s="1652"/>
      <c r="Y79" s="1652"/>
      <c r="Z79" s="1652"/>
      <c r="AA79" s="1652"/>
      <c r="AB79" s="1652"/>
      <c r="AC79" s="1652"/>
      <c r="AD79" s="1652"/>
      <c r="AE79" s="1652"/>
      <c r="AF79" s="1652"/>
      <c r="AG79" s="1652"/>
      <c r="AH79" s="1652"/>
      <c r="AI79" s="1652"/>
      <c r="AJ79" s="1652"/>
      <c r="AK79" s="1652"/>
      <c r="AL79" s="1652"/>
      <c r="AM79" s="1652"/>
      <c r="AN79" s="1652"/>
      <c r="AO79" s="1652"/>
      <c r="AP79" s="1652"/>
      <c r="AQ79" s="1652"/>
      <c r="AR79" s="1652"/>
      <c r="AS79" s="1652"/>
      <c r="AT79" s="1652"/>
      <c r="AU79" s="1652"/>
      <c r="AV79" s="1652"/>
      <c r="AW79" s="1652"/>
      <c r="AX79" s="1652"/>
      <c r="AY79" s="1652"/>
      <c r="AZ79" s="1652"/>
      <c r="BA79" s="1864"/>
      <c r="BB79" s="1864"/>
      <c r="BC79" s="1652"/>
      <c r="BD79" s="1652"/>
      <c r="BE79" s="1652"/>
      <c r="BF79" s="1652"/>
      <c r="BG79" s="1652"/>
      <c r="BH79" s="1652"/>
      <c r="BI79" s="1652"/>
      <c r="BJ79" s="1652"/>
      <c r="BK79" s="1652"/>
      <c r="BL79" s="1652"/>
      <c r="BM79" s="1652"/>
      <c r="BN79" s="1652"/>
    </row>
    <row r="80" spans="1:69" x14ac:dyDescent="0.2">
      <c r="AO80" s="1868"/>
      <c r="AW80" s="1868"/>
      <c r="AY80" s="1603"/>
      <c r="AZ80" s="1603"/>
      <c r="BL80" s="1606"/>
      <c r="BM80" s="1606"/>
    </row>
    <row r="81" spans="10:65" x14ac:dyDescent="0.2">
      <c r="AO81" s="1606"/>
      <c r="AW81" s="1869"/>
      <c r="AY81" s="1603"/>
      <c r="AZ81" s="1603"/>
      <c r="BL81" s="1606"/>
      <c r="BM81" s="1606"/>
    </row>
    <row r="82" spans="10:65" x14ac:dyDescent="0.2">
      <c r="J82" s="1652"/>
      <c r="K82" s="1652"/>
      <c r="L82" s="1652"/>
      <c r="M82" s="1652"/>
      <c r="N82" s="1652"/>
      <c r="O82" s="1652"/>
      <c r="P82" s="1652"/>
      <c r="Q82" s="1652"/>
      <c r="R82" s="1652"/>
      <c r="S82" s="1652"/>
      <c r="T82" s="1652"/>
      <c r="U82" s="1652"/>
      <c r="W82" s="1870"/>
      <c r="AO82" s="1606"/>
      <c r="AP82" s="1606"/>
      <c r="AS82" s="1606"/>
      <c r="AU82" s="1606"/>
      <c r="AV82" s="1606"/>
      <c r="AW82" s="1606"/>
      <c r="AY82" s="1603"/>
      <c r="AZ82" s="1603"/>
      <c r="BE82" s="1871"/>
      <c r="BF82" s="1871"/>
      <c r="BL82" s="1771"/>
      <c r="BM82" s="1771"/>
    </row>
    <row r="83" spans="10:65" x14ac:dyDescent="0.2">
      <c r="K83" s="1870"/>
      <c r="O83" s="1870"/>
      <c r="S83" s="1870"/>
      <c r="W83" s="1870"/>
      <c r="AO83" s="1771"/>
      <c r="AP83" s="1872"/>
      <c r="AQ83" s="1771"/>
      <c r="AR83" s="1771"/>
      <c r="AS83" s="1771"/>
      <c r="AT83" s="1873"/>
      <c r="AU83" s="1873"/>
      <c r="AV83" s="1874"/>
      <c r="AW83" s="1608"/>
      <c r="AY83" s="1603"/>
      <c r="AZ83" s="1603"/>
      <c r="BL83" s="1771"/>
      <c r="BM83" s="1771"/>
    </row>
    <row r="84" spans="10:65" x14ac:dyDescent="0.2">
      <c r="AO84" s="1771"/>
      <c r="AP84" s="1771"/>
      <c r="AQ84" s="1771"/>
      <c r="AR84" s="1771"/>
      <c r="AS84" s="1771"/>
      <c r="AT84" s="1875"/>
      <c r="AU84" s="1771"/>
      <c r="AV84" s="1771"/>
      <c r="AW84" s="1771"/>
      <c r="AY84" s="1603"/>
      <c r="AZ84" s="1603"/>
      <c r="BL84" s="1644"/>
      <c r="BM84" s="1644"/>
    </row>
    <row r="85" spans="10:65" x14ac:dyDescent="0.2">
      <c r="AO85" s="1644"/>
      <c r="AP85" s="1876"/>
      <c r="AQ85" s="1773"/>
      <c r="AR85" s="1773"/>
      <c r="AS85" s="1773"/>
      <c r="AT85" s="1876"/>
      <c r="AU85" s="1773"/>
      <c r="AV85" s="1773"/>
      <c r="AW85" s="1628"/>
      <c r="AY85" s="1603"/>
      <c r="AZ85" s="1603"/>
      <c r="BL85" s="1773"/>
      <c r="BM85" s="1773"/>
    </row>
    <row r="86" spans="10:65" x14ac:dyDescent="0.2">
      <c r="AO86" s="1644"/>
      <c r="AP86" s="1773"/>
      <c r="AQ86" s="1773"/>
      <c r="AR86" s="1773"/>
      <c r="AS86" s="1773"/>
      <c r="AT86" s="1773"/>
      <c r="AU86" s="1773"/>
      <c r="AV86" s="1773"/>
      <c r="AW86" s="1628"/>
      <c r="AY86" s="1603"/>
      <c r="AZ86" s="1603"/>
      <c r="BL86" s="1773"/>
      <c r="BM86" s="1773"/>
    </row>
    <row r="87" spans="10:65" x14ac:dyDescent="0.2">
      <c r="AO87" s="1644"/>
      <c r="AP87" s="1773"/>
      <c r="AQ87" s="1773"/>
      <c r="AR87" s="1773"/>
      <c r="AS87" s="1773"/>
      <c r="AT87" s="1773"/>
      <c r="AU87" s="1773"/>
      <c r="AV87" s="1773"/>
      <c r="AW87" s="1628"/>
      <c r="AY87" s="1603"/>
      <c r="AZ87" s="1603"/>
      <c r="BL87" s="1773"/>
      <c r="BM87" s="1773"/>
    </row>
    <row r="88" spans="10:65" x14ac:dyDescent="0.2">
      <c r="AO88" s="1773"/>
      <c r="AP88" s="1773"/>
      <c r="AQ88" s="1773"/>
      <c r="AR88" s="1773"/>
      <c r="AS88" s="1773"/>
      <c r="AT88" s="1773"/>
      <c r="AU88" s="1773"/>
      <c r="AV88" s="1773"/>
      <c r="AW88" s="1773"/>
      <c r="AY88" s="1603"/>
      <c r="AZ88" s="1603"/>
      <c r="BL88" s="1877"/>
      <c r="BM88" s="1877"/>
    </row>
    <row r="89" spans="10:65" x14ac:dyDescent="0.2">
      <c r="AO89" s="1877"/>
      <c r="AP89" s="1877"/>
      <c r="AQ89" s="1877"/>
      <c r="AR89" s="1877"/>
      <c r="AS89" s="1877"/>
      <c r="AT89" s="1877"/>
      <c r="AU89" s="1877"/>
      <c r="AV89" s="1877"/>
      <c r="AW89" s="1877"/>
      <c r="AY89" s="1603"/>
      <c r="AZ89" s="1603"/>
      <c r="BL89" s="1877"/>
      <c r="BM89" s="1877"/>
    </row>
    <row r="90" spans="10:65" x14ac:dyDescent="0.2">
      <c r="AO90" s="1877"/>
      <c r="AP90" s="1877"/>
      <c r="AQ90" s="1877"/>
      <c r="AR90" s="1877"/>
      <c r="AS90" s="1877"/>
      <c r="AT90" s="1877"/>
      <c r="AU90" s="1877"/>
      <c r="AV90" s="1877"/>
      <c r="AW90" s="1877"/>
      <c r="AY90" s="1603"/>
      <c r="AZ90" s="1603"/>
      <c r="BL90" s="1603"/>
      <c r="BM90" s="1603"/>
    </row>
    <row r="91" spans="10:65" x14ac:dyDescent="0.2">
      <c r="AO91" s="1603"/>
      <c r="AP91" s="1603"/>
      <c r="AQ91" s="1603"/>
      <c r="AR91" s="1603"/>
      <c r="AS91" s="1603"/>
      <c r="AT91" s="1603"/>
      <c r="AU91" s="1603"/>
      <c r="AV91" s="1603"/>
      <c r="AW91" s="1603"/>
      <c r="AY91" s="1603"/>
      <c r="AZ91" s="1603"/>
      <c r="BL91" s="1603"/>
      <c r="BM91" s="1603"/>
    </row>
    <row r="92" spans="10:65" x14ac:dyDescent="0.2">
      <c r="AO92" s="1603"/>
      <c r="AP92" s="1603"/>
      <c r="AQ92" s="1603"/>
      <c r="AR92" s="1603"/>
      <c r="AS92" s="1603"/>
      <c r="AT92" s="1603"/>
      <c r="AU92" s="1603"/>
      <c r="AV92" s="1603"/>
      <c r="AW92" s="1603"/>
      <c r="AY92" s="1603"/>
      <c r="AZ92" s="1603"/>
      <c r="BL92" s="1603"/>
      <c r="BM92" s="1603"/>
    </row>
    <row r="93" spans="10:65" x14ac:dyDescent="0.2">
      <c r="AO93" s="1603"/>
      <c r="AP93" s="1603"/>
      <c r="AQ93" s="1603"/>
      <c r="AR93" s="1603"/>
      <c r="AS93" s="1603"/>
      <c r="AT93" s="1603"/>
      <c r="AU93" s="1603"/>
      <c r="AV93" s="1603"/>
      <c r="AW93" s="1603"/>
      <c r="AY93" s="1603"/>
      <c r="AZ93" s="1603"/>
      <c r="BL93" s="1603"/>
      <c r="BM93" s="1603"/>
    </row>
    <row r="94" spans="10:65" x14ac:dyDescent="0.2">
      <c r="AO94" s="1603"/>
      <c r="AP94" s="1603"/>
      <c r="AQ94" s="1603"/>
      <c r="AR94" s="1603"/>
      <c r="AS94" s="1603"/>
      <c r="AT94" s="1603"/>
      <c r="AU94" s="1603"/>
      <c r="AV94" s="1603"/>
      <c r="AW94" s="1603"/>
      <c r="AY94" s="1603"/>
      <c r="AZ94" s="1603"/>
      <c r="BL94" s="1603"/>
      <c r="BM94" s="1603"/>
    </row>
    <row r="95" spans="10:65" x14ac:dyDescent="0.2">
      <c r="AO95" s="1603"/>
      <c r="AP95" s="1603"/>
      <c r="AQ95" s="1603"/>
      <c r="AR95" s="1603"/>
      <c r="AS95" s="1603"/>
      <c r="AT95" s="1603"/>
      <c r="AU95" s="1603"/>
      <c r="AV95" s="1603"/>
      <c r="AW95" s="1603"/>
      <c r="AY95" s="1603"/>
      <c r="AZ95" s="1603"/>
    </row>
  </sheetData>
  <mergeCells count="13">
    <mergeCell ref="C49:D49"/>
    <mergeCell ref="BA49:BB49"/>
    <mergeCell ref="C60:D60"/>
    <mergeCell ref="C61:D61"/>
    <mergeCell ref="BA61:BB61"/>
    <mergeCell ref="AY60:AZ60"/>
    <mergeCell ref="C48:D48"/>
    <mergeCell ref="C10:D10"/>
    <mergeCell ref="C11:D11"/>
    <mergeCell ref="BA11:BB11"/>
    <mergeCell ref="A32:B32"/>
    <mergeCell ref="A33:B33"/>
    <mergeCell ref="AY48:AZ48"/>
  </mergeCells>
  <conditionalFormatting sqref="A46:A47 AQ55:AW58 A67:A69 A59 A34:B38 AS37:AW42 AQ37:AR41 BK37:BM42 BI58:BM58 BK55:BM57">
    <cfRule type="cellIs" dxfId="59" priority="6" stopIfTrue="1" operator="equal">
      <formula>0</formula>
    </cfRule>
  </conditionalFormatting>
  <conditionalFormatting sqref="BG58:BH58">
    <cfRule type="cellIs" dxfId="58" priority="5" stopIfTrue="1" operator="equal">
      <formula>0</formula>
    </cfRule>
  </conditionalFormatting>
  <conditionalFormatting sqref="BG58">
    <cfRule type="cellIs" dxfId="57" priority="4" stopIfTrue="1" operator="equal">
      <formula>0</formula>
    </cfRule>
  </conditionalFormatting>
  <conditionalFormatting sqref="BF58">
    <cfRule type="cellIs" dxfId="56" priority="3" stopIfTrue="1" operator="equal">
      <formula>0</formula>
    </cfRule>
  </conditionalFormatting>
  <conditionalFormatting sqref="BE58">
    <cfRule type="cellIs" dxfId="55" priority="2" stopIfTrue="1" operator="equal">
      <formula>0</formula>
    </cfRule>
  </conditionalFormatting>
  <conditionalFormatting sqref="BD58">
    <cfRule type="cellIs" dxfId="54" priority="1" stopIfTrue="1" operator="equal">
      <formula>0</formula>
    </cfRule>
  </conditionalFormatting>
  <printOptions horizontalCentered="1"/>
  <pageMargins left="0.3" right="0.3" top="0.4" bottom="0.6" header="0" footer="0.3"/>
  <pageSetup scale="54" orientation="landscape" r:id="rId1"/>
  <headerFooter alignWithMargins="0">
    <oddFooter>&amp;L&amp;F&amp;CPage 4</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U95"/>
  <sheetViews>
    <sheetView topLeftCell="A16" zoomScale="80" zoomScaleNormal="80" zoomScaleSheetLayoutView="80" zoomScalePageLayoutView="70" workbookViewId="0">
      <selection activeCell="N70" sqref="N70"/>
    </sheetView>
  </sheetViews>
  <sheetFormatPr defaultRowHeight="12.75" x14ac:dyDescent="0.2"/>
  <cols>
    <col min="1" max="1" width="2.7109375" style="1602" customWidth="1"/>
    <col min="2" max="2" width="53.5703125" style="1602" customWidth="1"/>
    <col min="3" max="3" width="10.140625" style="1602" customWidth="1"/>
    <col min="4" max="4" width="9.7109375" style="1602" customWidth="1"/>
    <col min="5" max="5" width="1.5703125" style="1560" customWidth="1"/>
    <col min="6" max="8" width="8.85546875" style="1560" hidden="1" customWidth="1"/>
    <col min="9" max="9" width="11.7109375" style="1560" customWidth="1"/>
    <col min="10" max="10" width="9.7109375" style="1603" customWidth="1"/>
    <col min="11" max="11" width="9.140625" style="1603" customWidth="1"/>
    <col min="12" max="13" width="8.7109375" style="1603" customWidth="1"/>
    <col min="14" max="14" width="9.7109375" style="1603" customWidth="1"/>
    <col min="15" max="15" width="7.7109375" style="1603" bestFit="1" customWidth="1"/>
    <col min="16" max="17" width="8.7109375" style="1603" customWidth="1"/>
    <col min="18" max="33" width="8.7109375" style="1603" hidden="1" customWidth="1"/>
    <col min="34" max="40" width="9.7109375" style="1603" hidden="1" customWidth="1"/>
    <col min="41" max="49" width="9.7109375" style="1602" hidden="1" customWidth="1"/>
    <col min="50" max="50" width="1.5703125" style="1603" hidden="1" customWidth="1"/>
    <col min="51" max="51" width="9.42578125" style="1602" hidden="1" customWidth="1"/>
    <col min="52" max="52" width="9" style="1602" hidden="1" customWidth="1"/>
    <col min="53" max="53" width="9.7109375" style="1653" hidden="1" customWidth="1"/>
    <col min="54" max="54" width="10" style="1653" hidden="1" customWidth="1"/>
    <col min="55" max="55" width="1.5703125" style="1602" customWidth="1"/>
    <col min="56" max="60" width="9.7109375" style="1602" customWidth="1"/>
    <col min="61" max="68" width="9.7109375" style="1602" hidden="1" customWidth="1"/>
    <col min="69" max="69" width="1.5703125" style="1602" customWidth="1"/>
    <col min="70" max="70" width="9.140625" style="1602"/>
    <col min="71" max="16384" width="9.140625" style="1559"/>
  </cols>
  <sheetData>
    <row r="2" spans="1:76" x14ac:dyDescent="0.2">
      <c r="L2" s="1652"/>
      <c r="M2" s="1652"/>
      <c r="P2" s="1652"/>
      <c r="Q2" s="1652"/>
      <c r="T2" s="1652"/>
      <c r="U2" s="1652"/>
      <c r="X2" s="1652"/>
      <c r="Y2" s="1652"/>
      <c r="AB2" s="1652"/>
      <c r="AC2" s="1652"/>
      <c r="AF2" s="1652"/>
      <c r="AG2" s="1652"/>
      <c r="AJ2" s="1652"/>
      <c r="AK2" s="1652"/>
    </row>
    <row r="5" spans="1:76" x14ac:dyDescent="0.2">
      <c r="A5" s="1603"/>
      <c r="B5" s="1603"/>
      <c r="C5" s="1603"/>
      <c r="D5" s="1603"/>
      <c r="AO5" s="1603"/>
      <c r="AP5" s="1603"/>
      <c r="AQ5" s="1603"/>
    </row>
    <row r="6" spans="1:76" ht="18" customHeight="1" x14ac:dyDescent="0.2">
      <c r="A6" s="1885" t="s">
        <v>358</v>
      </c>
      <c r="B6" s="1603"/>
      <c r="C6" s="1603"/>
      <c r="D6" s="1603"/>
      <c r="AO6" s="1603"/>
      <c r="AP6" s="1603"/>
      <c r="AQ6" s="1603"/>
    </row>
    <row r="7" spans="1:76" ht="18" customHeight="1" x14ac:dyDescent="0.2">
      <c r="A7" s="1885" t="s">
        <v>364</v>
      </c>
      <c r="B7" s="1603"/>
      <c r="C7" s="1603"/>
      <c r="D7" s="1603"/>
      <c r="AO7" s="1603"/>
      <c r="AP7" s="1603"/>
      <c r="AQ7" s="1603"/>
      <c r="AZ7" s="1603"/>
    </row>
    <row r="8" spans="1:76" ht="18" customHeight="1" x14ac:dyDescent="0.2">
      <c r="A8" s="1604" t="s">
        <v>363</v>
      </c>
      <c r="B8" s="1605"/>
      <c r="C8" s="1605"/>
      <c r="D8" s="1605"/>
      <c r="E8" s="1562"/>
      <c r="F8" s="1562"/>
      <c r="G8" s="1562"/>
      <c r="H8" s="1562"/>
      <c r="I8" s="1562"/>
      <c r="J8" s="1605"/>
      <c r="K8" s="1605"/>
      <c r="L8" s="1605"/>
      <c r="M8" s="1605"/>
      <c r="N8" s="1605"/>
      <c r="O8" s="1605"/>
      <c r="P8" s="1605"/>
      <c r="Q8" s="1605"/>
      <c r="R8" s="1605"/>
      <c r="S8" s="1605"/>
      <c r="T8" s="1605"/>
      <c r="U8" s="1605"/>
      <c r="V8" s="1605"/>
      <c r="W8" s="1605"/>
      <c r="X8" s="1605"/>
      <c r="Y8" s="1605"/>
      <c r="Z8" s="1605"/>
      <c r="AA8" s="1605"/>
      <c r="AB8" s="1605"/>
      <c r="AC8" s="1605"/>
      <c r="AD8" s="1605"/>
      <c r="AE8" s="1605"/>
      <c r="AF8" s="1605"/>
      <c r="AG8" s="1605"/>
      <c r="AH8" s="1605"/>
      <c r="AI8" s="1605"/>
      <c r="AJ8" s="1605"/>
      <c r="AK8" s="1605"/>
      <c r="AL8" s="1605"/>
      <c r="AM8" s="1605"/>
      <c r="AN8" s="1605"/>
      <c r="AO8" s="1603"/>
      <c r="AP8" s="1603"/>
      <c r="AQ8" s="1603"/>
    </row>
    <row r="9" spans="1:76" ht="9.75" customHeight="1" x14ac:dyDescent="0.2">
      <c r="A9" s="1606"/>
      <c r="B9" s="1606"/>
      <c r="C9" s="1606"/>
      <c r="D9" s="1606"/>
      <c r="E9" s="1563"/>
      <c r="F9" s="1563"/>
      <c r="G9" s="1563"/>
      <c r="H9" s="1563"/>
      <c r="I9" s="1563"/>
      <c r="J9" s="1606"/>
      <c r="K9" s="1606"/>
      <c r="L9" s="1656"/>
      <c r="M9" s="1606"/>
      <c r="N9" s="1606"/>
      <c r="O9" s="1606"/>
      <c r="P9" s="1656"/>
      <c r="Q9" s="1606"/>
      <c r="R9" s="1606"/>
      <c r="S9" s="1606"/>
      <c r="T9" s="1656"/>
      <c r="U9" s="1606"/>
      <c r="V9" s="1606"/>
      <c r="W9" s="1606"/>
      <c r="X9" s="1656"/>
      <c r="Y9" s="1606"/>
      <c r="Z9" s="1606"/>
      <c r="AA9" s="1606"/>
      <c r="AB9" s="1656"/>
      <c r="AC9" s="1606"/>
      <c r="AD9" s="1656"/>
      <c r="AE9" s="1606"/>
      <c r="AF9" s="1656"/>
      <c r="AG9" s="1606"/>
      <c r="AH9" s="1656"/>
      <c r="AI9" s="1606"/>
      <c r="AJ9" s="1656"/>
      <c r="AK9" s="1606"/>
      <c r="AL9" s="1656"/>
      <c r="AM9" s="1606"/>
      <c r="AN9" s="1606"/>
      <c r="AO9" s="1603"/>
      <c r="AP9" s="1603"/>
      <c r="AQ9" s="1603"/>
      <c r="BA9" s="1657"/>
      <c r="BB9" s="1657"/>
    </row>
    <row r="10" spans="1:76" x14ac:dyDescent="0.2">
      <c r="A10" s="1607" t="s">
        <v>1</v>
      </c>
      <c r="B10" s="1608"/>
      <c r="C10" s="2483" t="s">
        <v>456</v>
      </c>
      <c r="D10" s="2484"/>
      <c r="E10" s="1565"/>
      <c r="F10" s="1566"/>
      <c r="G10" s="1566"/>
      <c r="H10" s="1878"/>
      <c r="I10" s="2348"/>
      <c r="J10" s="1659"/>
      <c r="K10" s="1659"/>
      <c r="L10" s="1888"/>
      <c r="M10" s="1889"/>
      <c r="N10" s="1659"/>
      <c r="O10" s="1659"/>
      <c r="P10" s="1888"/>
      <c r="Q10" s="1889"/>
      <c r="R10" s="1659"/>
      <c r="S10" s="1659"/>
      <c r="T10" s="1888"/>
      <c r="U10" s="1889"/>
      <c r="V10" s="1888"/>
      <c r="W10" s="1888"/>
      <c r="X10" s="1888"/>
      <c r="Y10" s="1889"/>
      <c r="Z10" s="1888"/>
      <c r="AA10" s="1888"/>
      <c r="AB10" s="1888"/>
      <c r="AC10" s="1888"/>
      <c r="AD10" s="1782"/>
      <c r="AE10" s="1888"/>
      <c r="AF10" s="1888"/>
      <c r="AG10" s="1888"/>
      <c r="AH10" s="1782"/>
      <c r="AI10" s="1888"/>
      <c r="AJ10" s="1888"/>
      <c r="AK10" s="1888"/>
      <c r="AL10" s="1782"/>
      <c r="AM10" s="1888"/>
      <c r="AN10" s="1889"/>
      <c r="AO10" s="1889"/>
      <c r="AP10" s="1889"/>
      <c r="AQ10" s="1633"/>
      <c r="AR10" s="1633"/>
      <c r="AS10" s="1608"/>
      <c r="AT10" s="1633"/>
      <c r="AU10" s="1608"/>
      <c r="AV10" s="1608"/>
      <c r="AW10" s="1633"/>
      <c r="AX10" s="1687"/>
      <c r="AY10" s="1006" t="s">
        <v>448</v>
      </c>
      <c r="AZ10" s="1006"/>
      <c r="BA10" s="1006" t="s">
        <v>441</v>
      </c>
      <c r="BB10" s="1007"/>
      <c r="BC10" s="1662"/>
      <c r="BD10" s="1663"/>
      <c r="BE10" s="1663"/>
      <c r="BF10" s="1663"/>
      <c r="BG10" s="1663"/>
      <c r="BH10" s="1663"/>
      <c r="BI10" s="1663"/>
      <c r="BJ10" s="1663"/>
      <c r="BK10" s="1663"/>
      <c r="BL10" s="1664"/>
      <c r="BM10" s="1664"/>
      <c r="BN10" s="1663"/>
      <c r="BO10" s="1665"/>
      <c r="BP10" s="1890"/>
      <c r="BQ10" s="1666"/>
    </row>
    <row r="11" spans="1:76" ht="13.5" x14ac:dyDescent="0.2">
      <c r="A11" s="1607" t="s">
        <v>2</v>
      </c>
      <c r="B11" s="1608"/>
      <c r="C11" s="2478" t="s">
        <v>39</v>
      </c>
      <c r="D11" s="2479"/>
      <c r="E11" s="1568"/>
      <c r="F11" s="925" t="s">
        <v>452</v>
      </c>
      <c r="G11" s="925" t="s">
        <v>453</v>
      </c>
      <c r="H11" s="925" t="s">
        <v>454</v>
      </c>
      <c r="I11" s="2281" t="s">
        <v>455</v>
      </c>
      <c r="J11" s="1010" t="s">
        <v>399</v>
      </c>
      <c r="K11" s="1010" t="s">
        <v>398</v>
      </c>
      <c r="L11" s="1010" t="s">
        <v>397</v>
      </c>
      <c r="M11" s="1011" t="s">
        <v>395</v>
      </c>
      <c r="N11" s="1010" t="s">
        <v>373</v>
      </c>
      <c r="O11" s="1010" t="s">
        <v>374</v>
      </c>
      <c r="P11" s="1010" t="s">
        <v>375</v>
      </c>
      <c r="Q11" s="1011" t="s">
        <v>376</v>
      </c>
      <c r="R11" s="1667" t="s">
        <v>330</v>
      </c>
      <c r="S11" s="1667" t="s">
        <v>329</v>
      </c>
      <c r="T11" s="1667" t="s">
        <v>328</v>
      </c>
      <c r="U11" s="1668" t="s">
        <v>326</v>
      </c>
      <c r="V11" s="1667" t="s">
        <v>282</v>
      </c>
      <c r="W11" s="1667" t="s">
        <v>283</v>
      </c>
      <c r="X11" s="1667" t="s">
        <v>284</v>
      </c>
      <c r="Y11" s="1668" t="s">
        <v>285</v>
      </c>
      <c r="Z11" s="1667" t="s">
        <v>220</v>
      </c>
      <c r="AA11" s="1667" t="s">
        <v>221</v>
      </c>
      <c r="AB11" s="1667" t="s">
        <v>222</v>
      </c>
      <c r="AC11" s="1668" t="s">
        <v>219</v>
      </c>
      <c r="AD11" s="1669" t="s">
        <v>185</v>
      </c>
      <c r="AE11" s="1667" t="s">
        <v>186</v>
      </c>
      <c r="AF11" s="1667" t="s">
        <v>187</v>
      </c>
      <c r="AG11" s="1667" t="e">
        <v>#REF!</v>
      </c>
      <c r="AH11" s="1669" t="s">
        <v>118</v>
      </c>
      <c r="AI11" s="1667" t="s">
        <v>117</v>
      </c>
      <c r="AJ11" s="1667" t="s">
        <v>116</v>
      </c>
      <c r="AK11" s="1667" t="s">
        <v>115</v>
      </c>
      <c r="AL11" s="1669" t="s">
        <v>83</v>
      </c>
      <c r="AM11" s="1667" t="s">
        <v>84</v>
      </c>
      <c r="AN11" s="1668" t="s">
        <v>85</v>
      </c>
      <c r="AO11" s="1668" t="s">
        <v>30</v>
      </c>
      <c r="AP11" s="1668" t="s">
        <v>30</v>
      </c>
      <c r="AQ11" s="1633"/>
      <c r="AR11" s="1633"/>
      <c r="AS11" s="1608"/>
      <c r="AT11" s="1633"/>
      <c r="AU11" s="1608"/>
      <c r="AV11" s="1608"/>
      <c r="AW11" s="1633"/>
      <c r="AX11" s="1687"/>
      <c r="AY11" s="1010" t="s">
        <v>399</v>
      </c>
      <c r="AZ11" s="1010" t="s">
        <v>373</v>
      </c>
      <c r="BA11" s="2485" t="s">
        <v>39</v>
      </c>
      <c r="BB11" s="2458"/>
      <c r="BC11" s="1671"/>
      <c r="BD11" s="1012" t="s">
        <v>438</v>
      </c>
      <c r="BE11" s="1012" t="s">
        <v>385</v>
      </c>
      <c r="BF11" s="1012" t="s">
        <v>332</v>
      </c>
      <c r="BG11" s="1672" t="s">
        <v>287</v>
      </c>
      <c r="BH11" s="1672" t="s">
        <v>224</v>
      </c>
      <c r="BI11" s="1672" t="s">
        <v>120</v>
      </c>
      <c r="BJ11" s="1672" t="s">
        <v>119</v>
      </c>
      <c r="BK11" s="1669" t="s">
        <v>43</v>
      </c>
      <c r="BL11" s="1672" t="s">
        <v>40</v>
      </c>
      <c r="BM11" s="1672" t="s">
        <v>41</v>
      </c>
      <c r="BN11" s="1672" t="s">
        <v>138</v>
      </c>
      <c r="BO11" s="1672" t="s">
        <v>139</v>
      </c>
      <c r="BP11" s="1669" t="s">
        <v>140</v>
      </c>
      <c r="BQ11" s="1666"/>
      <c r="BR11" s="1603"/>
      <c r="BS11" s="1560"/>
      <c r="BT11" s="1560"/>
      <c r="BU11" s="1560"/>
      <c r="BV11" s="1560"/>
      <c r="BW11" s="1560"/>
      <c r="BX11" s="1560"/>
    </row>
    <row r="12" spans="1:76" s="1571" customFormat="1" x14ac:dyDescent="0.2">
      <c r="A12" s="1607"/>
      <c r="B12" s="1607"/>
      <c r="C12" s="1609"/>
      <c r="D12" s="1610"/>
      <c r="E12" s="1569"/>
      <c r="F12" s="1186"/>
      <c r="G12" s="1186"/>
      <c r="H12" s="1186"/>
      <c r="I12" s="2282"/>
      <c r="J12" s="1268"/>
      <c r="K12" s="1268"/>
      <c r="L12" s="1268"/>
      <c r="M12" s="1269"/>
      <c r="N12" s="1268"/>
      <c r="O12" s="1268"/>
      <c r="P12" s="1268"/>
      <c r="Q12" s="1269"/>
      <c r="R12" s="1673"/>
      <c r="S12" s="1673"/>
      <c r="T12" s="1673"/>
      <c r="U12" s="1674"/>
      <c r="V12" s="1673"/>
      <c r="W12" s="1673"/>
      <c r="X12" s="1673"/>
      <c r="Y12" s="1674"/>
      <c r="Z12" s="1673"/>
      <c r="AA12" s="1673"/>
      <c r="AB12" s="1673"/>
      <c r="AC12" s="1674"/>
      <c r="AD12" s="1673"/>
      <c r="AE12" s="1673"/>
      <c r="AF12" s="1673"/>
      <c r="AG12" s="1674"/>
      <c r="AH12" s="1673"/>
      <c r="AI12" s="1673"/>
      <c r="AJ12" s="1673"/>
      <c r="AK12" s="1674"/>
      <c r="AL12" s="1675"/>
      <c r="AM12" s="1675"/>
      <c r="AN12" s="1675"/>
      <c r="AO12" s="1676"/>
      <c r="AP12" s="1675"/>
      <c r="AQ12" s="1675"/>
      <c r="AR12" s="1675"/>
      <c r="AS12" s="1675"/>
      <c r="AT12" s="1677"/>
      <c r="AU12" s="1676"/>
      <c r="AV12" s="1676"/>
      <c r="AW12" s="1676"/>
      <c r="AX12" s="1685"/>
      <c r="AY12" s="1679"/>
      <c r="AZ12" s="1679"/>
      <c r="BA12" s="1680"/>
      <c r="BB12" s="1680"/>
      <c r="BC12" s="1678"/>
      <c r="BD12" s="1683"/>
      <c r="BE12" s="1683"/>
      <c r="BF12" s="1683"/>
      <c r="BG12" s="1683"/>
      <c r="BH12" s="1683"/>
      <c r="BI12" s="1683"/>
      <c r="BJ12" s="1684" t="s">
        <v>241</v>
      </c>
      <c r="BK12" s="1684" t="s">
        <v>241</v>
      </c>
      <c r="BL12" s="1684" t="s">
        <v>241</v>
      </c>
      <c r="BM12" s="1684" t="s">
        <v>241</v>
      </c>
      <c r="BN12" s="1684" t="s">
        <v>241</v>
      </c>
      <c r="BO12" s="1685"/>
      <c r="BP12" s="1677"/>
      <c r="BQ12" s="1686"/>
      <c r="BR12" s="2355"/>
      <c r="BS12" s="1570"/>
      <c r="BT12" s="1570"/>
      <c r="BU12" s="1570"/>
      <c r="BV12" s="1570"/>
      <c r="BW12" s="1570"/>
      <c r="BX12" s="1570"/>
    </row>
    <row r="13" spans="1:76" ht="12.75" customHeight="1" x14ac:dyDescent="0.2">
      <c r="A13" s="1611" t="s">
        <v>61</v>
      </c>
      <c r="B13" s="1612"/>
      <c r="C13" s="1613"/>
      <c r="D13" s="1614"/>
      <c r="E13" s="1572"/>
      <c r="F13" s="1573"/>
      <c r="G13" s="1573"/>
      <c r="H13" s="1573"/>
      <c r="I13" s="2322"/>
      <c r="J13" s="1633"/>
      <c r="K13" s="1633"/>
      <c r="L13" s="1633"/>
      <c r="M13" s="1614"/>
      <c r="N13" s="1633"/>
      <c r="O13" s="1633"/>
      <c r="P13" s="1633"/>
      <c r="Q13" s="1614"/>
      <c r="R13" s="1633"/>
      <c r="S13" s="1633"/>
      <c r="T13" s="1633"/>
      <c r="U13" s="1614"/>
      <c r="V13" s="1633"/>
      <c r="W13" s="1633"/>
      <c r="X13" s="1633"/>
      <c r="Y13" s="1614"/>
      <c r="Z13" s="1633"/>
      <c r="AA13" s="1633"/>
      <c r="AB13" s="1633"/>
      <c r="AC13" s="1614"/>
      <c r="AD13" s="1633"/>
      <c r="AE13" s="1633"/>
      <c r="AF13" s="1633"/>
      <c r="AG13" s="1614"/>
      <c r="AH13" s="1633"/>
      <c r="AI13" s="1633"/>
      <c r="AJ13" s="1633"/>
      <c r="AK13" s="1614"/>
      <c r="AL13" s="1633"/>
      <c r="AM13" s="1633"/>
      <c r="AN13" s="1633"/>
      <c r="AO13" s="1614"/>
      <c r="AP13" s="1633"/>
      <c r="AQ13" s="1633"/>
      <c r="AR13" s="1633"/>
      <c r="AS13" s="1614"/>
      <c r="AT13" s="1613"/>
      <c r="AU13" s="1614"/>
      <c r="AV13" s="1614"/>
      <c r="AW13" s="1614"/>
      <c r="AX13" s="1687"/>
      <c r="AY13" s="1633"/>
      <c r="AZ13" s="1633"/>
      <c r="BA13" s="1688"/>
      <c r="BB13" s="1689"/>
      <c r="BC13" s="1635"/>
      <c r="BD13" s="1687"/>
      <c r="BE13" s="1687"/>
      <c r="BF13" s="1687"/>
      <c r="BG13" s="1687"/>
      <c r="BH13" s="1687"/>
      <c r="BI13" s="1687"/>
      <c r="BJ13" s="1687"/>
      <c r="BK13" s="1687"/>
      <c r="BL13" s="1687"/>
      <c r="BM13" s="1687"/>
      <c r="BN13" s="1690"/>
      <c r="BO13" s="1691"/>
      <c r="BP13" s="1891"/>
      <c r="BQ13" s="1666"/>
      <c r="BR13" s="1603"/>
      <c r="BS13" s="1560"/>
      <c r="BT13" s="1560"/>
      <c r="BU13" s="1560"/>
      <c r="BV13" s="1560"/>
    </row>
    <row r="14" spans="1:76" ht="12.75" customHeight="1" x14ac:dyDescent="0.2">
      <c r="A14" s="1608"/>
      <c r="B14" s="1614" t="s">
        <v>358</v>
      </c>
      <c r="C14" s="1615">
        <v>-1076</v>
      </c>
      <c r="D14" s="1618">
        <v>-1.964399817434961E-2</v>
      </c>
      <c r="E14" s="1574"/>
      <c r="F14" s="1594"/>
      <c r="G14" s="1594"/>
      <c r="H14" s="1594"/>
      <c r="I14" s="2303">
        <v>53699</v>
      </c>
      <c r="J14" s="1788">
        <v>55262</v>
      </c>
      <c r="K14" s="1788">
        <v>51442</v>
      </c>
      <c r="L14" s="1788">
        <v>55932</v>
      </c>
      <c r="M14" s="1477">
        <v>54775</v>
      </c>
      <c r="N14" s="1788">
        <v>56515</v>
      </c>
      <c r="O14" s="1788">
        <v>43493</v>
      </c>
      <c r="P14" s="1788">
        <v>40703</v>
      </c>
      <c r="Q14" s="1477">
        <v>62261</v>
      </c>
      <c r="R14" s="1788">
        <v>71273</v>
      </c>
      <c r="S14" s="1788">
        <v>48269</v>
      </c>
      <c r="T14" s="1788">
        <v>44000</v>
      </c>
      <c r="U14" s="1477">
        <v>52943</v>
      </c>
      <c r="V14" s="1788">
        <v>45206</v>
      </c>
      <c r="W14" s="1788">
        <v>37625</v>
      </c>
      <c r="X14" s="1788">
        <v>39474</v>
      </c>
      <c r="Y14" s="1477">
        <v>31050</v>
      </c>
      <c r="Z14" s="1483">
        <v>18487</v>
      </c>
      <c r="AA14" s="1478">
        <v>17197</v>
      </c>
      <c r="AB14" s="1478">
        <v>17790</v>
      </c>
      <c r="AC14" s="1477">
        <v>26012</v>
      </c>
      <c r="AD14" s="1483">
        <v>27712</v>
      </c>
      <c r="AE14" s="1478">
        <v>32618</v>
      </c>
      <c r="AF14" s="1478">
        <v>20083</v>
      </c>
      <c r="AG14" s="1477"/>
      <c r="AH14" s="1694"/>
      <c r="AI14" s="1694"/>
      <c r="AJ14" s="1803"/>
      <c r="AK14" s="1790"/>
      <c r="AL14" s="1709"/>
      <c r="AM14" s="1709"/>
      <c r="AN14" s="1709"/>
      <c r="AO14" s="1790"/>
      <c r="AP14" s="1643"/>
      <c r="AQ14" s="1892"/>
      <c r="AR14" s="1892"/>
      <c r="AS14" s="1893"/>
      <c r="AT14" s="1638"/>
      <c r="AU14" s="1893"/>
      <c r="AV14" s="1893"/>
      <c r="AW14" s="1893"/>
      <c r="AX14" s="1749"/>
      <c r="AY14" s="1694">
        <v>217411</v>
      </c>
      <c r="AZ14" s="1694">
        <v>202972</v>
      </c>
      <c r="BA14" s="1701">
        <v>14439</v>
      </c>
      <c r="BB14" s="1618">
        <v>7.1137890940622353E-2</v>
      </c>
      <c r="BC14" s="1622"/>
      <c r="BD14" s="1807">
        <v>217411</v>
      </c>
      <c r="BE14" s="1793">
        <v>202972</v>
      </c>
      <c r="BF14" s="1793">
        <v>216485</v>
      </c>
      <c r="BG14" s="1817">
        <v>153355</v>
      </c>
      <c r="BH14" s="1817">
        <v>79486</v>
      </c>
      <c r="BI14" s="1894">
        <v>106219</v>
      </c>
      <c r="BJ14" s="1447">
        <v>97629</v>
      </c>
      <c r="BK14" s="1447">
        <v>74794</v>
      </c>
      <c r="BL14" s="1447" t="e">
        <f>+BL15-#REF!</f>
        <v>#REF!</v>
      </c>
      <c r="BM14" s="1702">
        <v>187562</v>
      </c>
      <c r="BN14" s="1690">
        <v>150470</v>
      </c>
      <c r="BO14" s="1690">
        <v>95559</v>
      </c>
      <c r="BP14" s="1895"/>
      <c r="BQ14" s="1666"/>
      <c r="BR14" s="1603"/>
      <c r="BS14" s="1560"/>
      <c r="BT14" s="1560"/>
      <c r="BU14" s="1560"/>
      <c r="BV14" s="1560"/>
    </row>
    <row r="15" spans="1:76" ht="12.75" customHeight="1" x14ac:dyDescent="0.2">
      <c r="A15" s="1612"/>
      <c r="B15" s="1608"/>
      <c r="C15" s="1616">
        <v>-1076</v>
      </c>
      <c r="D15" s="1617">
        <v>-1.964399817434961E-2</v>
      </c>
      <c r="E15" s="1574"/>
      <c r="F15" s="1879">
        <v>0</v>
      </c>
      <c r="G15" s="1879">
        <v>0</v>
      </c>
      <c r="H15" s="1879">
        <v>0</v>
      </c>
      <c r="I15" s="2349">
        <v>53699</v>
      </c>
      <c r="J15" s="1896">
        <v>55262</v>
      </c>
      <c r="K15" s="1896">
        <v>51442</v>
      </c>
      <c r="L15" s="1896">
        <v>55932</v>
      </c>
      <c r="M15" s="1897">
        <v>54775</v>
      </c>
      <c r="N15" s="1896">
        <v>56515</v>
      </c>
      <c r="O15" s="1896">
        <v>43493</v>
      </c>
      <c r="P15" s="1896">
        <v>40703</v>
      </c>
      <c r="Q15" s="1897">
        <v>62261</v>
      </c>
      <c r="R15" s="1896">
        <v>71273</v>
      </c>
      <c r="S15" s="1896">
        <v>48269</v>
      </c>
      <c r="T15" s="1896">
        <v>44000</v>
      </c>
      <c r="U15" s="1897">
        <v>52943</v>
      </c>
      <c r="V15" s="1898">
        <v>45206</v>
      </c>
      <c r="W15" s="1896">
        <v>37625</v>
      </c>
      <c r="X15" s="1896">
        <v>39474</v>
      </c>
      <c r="Y15" s="1897">
        <v>31050</v>
      </c>
      <c r="Z15" s="1896">
        <v>18487</v>
      </c>
      <c r="AA15" s="1896">
        <v>17197</v>
      </c>
      <c r="AB15" s="1896">
        <v>17790</v>
      </c>
      <c r="AC15" s="1897">
        <v>26012</v>
      </c>
      <c r="AD15" s="1694">
        <v>27712</v>
      </c>
      <c r="AE15" s="1694">
        <v>32618</v>
      </c>
      <c r="AF15" s="1694">
        <v>20083</v>
      </c>
      <c r="AG15" s="1897"/>
      <c r="AH15" s="1694"/>
      <c r="AI15" s="1694"/>
      <c r="AJ15" s="1694"/>
      <c r="AK15" s="1897"/>
      <c r="AL15" s="1896"/>
      <c r="AM15" s="1896"/>
      <c r="AN15" s="1896"/>
      <c r="AO15" s="1897"/>
      <c r="AP15" s="1896"/>
      <c r="AQ15" s="1896"/>
      <c r="AR15" s="1896"/>
      <c r="AS15" s="1896"/>
      <c r="AT15" s="1898"/>
      <c r="AU15" s="1897"/>
      <c r="AV15" s="1897"/>
      <c r="AW15" s="1897"/>
      <c r="AX15" s="1749"/>
      <c r="AY15" s="1694">
        <v>217411</v>
      </c>
      <c r="AZ15" s="1694">
        <v>202972</v>
      </c>
      <c r="BA15" s="1706">
        <v>14439</v>
      </c>
      <c r="BB15" s="1617">
        <v>7.1137890940622353E-2</v>
      </c>
      <c r="BC15" s="1622"/>
      <c r="BD15" s="1801">
        <v>217411</v>
      </c>
      <c r="BE15" s="1707">
        <v>202972</v>
      </c>
      <c r="BF15" s="1707">
        <v>216485</v>
      </c>
      <c r="BG15" s="1707">
        <v>153355</v>
      </c>
      <c r="BH15" s="1707">
        <v>79486</v>
      </c>
      <c r="BI15" s="1707">
        <v>106219</v>
      </c>
      <c r="BJ15" s="1707">
        <v>97629</v>
      </c>
      <c r="BK15" s="1707">
        <v>74794</v>
      </c>
      <c r="BL15" s="1707">
        <v>90788</v>
      </c>
      <c r="BM15" s="1707">
        <v>187562</v>
      </c>
      <c r="BN15" s="1708">
        <v>150470</v>
      </c>
      <c r="BO15" s="1708">
        <f>BO14</f>
        <v>95559</v>
      </c>
      <c r="BP15" s="1616">
        <v>211758</v>
      </c>
      <c r="BQ15" s="1666"/>
      <c r="BS15" s="1560"/>
      <c r="BT15" s="1560"/>
      <c r="BU15" s="1560"/>
      <c r="BV15" s="1560"/>
    </row>
    <row r="16" spans="1:76" ht="12.75" customHeight="1" x14ac:dyDescent="0.2">
      <c r="A16" s="1611" t="s">
        <v>5</v>
      </c>
      <c r="B16" s="1608"/>
      <c r="C16" s="1615"/>
      <c r="D16" s="1618"/>
      <c r="E16" s="1574"/>
      <c r="F16" s="1579"/>
      <c r="G16" s="2350"/>
      <c r="H16" s="1579"/>
      <c r="I16" s="2336"/>
      <c r="J16" s="1709"/>
      <c r="K16" s="1899"/>
      <c r="L16" s="1709"/>
      <c r="M16" s="1790"/>
      <c r="N16" s="1709"/>
      <c r="O16" s="1899"/>
      <c r="P16" s="1709"/>
      <c r="Q16" s="1790"/>
      <c r="R16" s="1709"/>
      <c r="S16" s="1899"/>
      <c r="T16" s="1709"/>
      <c r="U16" s="1790"/>
      <c r="V16" s="1709"/>
      <c r="W16" s="1899"/>
      <c r="X16" s="1709"/>
      <c r="Y16" s="1790"/>
      <c r="Z16" s="1709"/>
      <c r="AA16" s="1899"/>
      <c r="AB16" s="1709"/>
      <c r="AC16" s="1790"/>
      <c r="AD16" s="1709"/>
      <c r="AE16" s="1899"/>
      <c r="AF16" s="1709"/>
      <c r="AG16" s="1790"/>
      <c r="AH16" s="1709"/>
      <c r="AI16" s="1899"/>
      <c r="AJ16" s="1709"/>
      <c r="AK16" s="1790"/>
      <c r="AL16" s="1899"/>
      <c r="AM16" s="1899"/>
      <c r="AN16" s="1899"/>
      <c r="AO16" s="1791"/>
      <c r="AP16" s="1788"/>
      <c r="AQ16" s="1788"/>
      <c r="AR16" s="1788"/>
      <c r="AS16" s="1788"/>
      <c r="AT16" s="1795"/>
      <c r="AU16" s="1790"/>
      <c r="AV16" s="1790"/>
      <c r="AW16" s="1790"/>
      <c r="AX16" s="1749"/>
      <c r="AY16" s="1709"/>
      <c r="AZ16" s="1709"/>
      <c r="BA16" s="1701"/>
      <c r="BB16" s="1618"/>
      <c r="BC16" s="1622"/>
      <c r="BD16" s="1900"/>
      <c r="BE16" s="1900"/>
      <c r="BF16" s="1900"/>
      <c r="BG16" s="1900"/>
      <c r="BH16" s="1900"/>
      <c r="BI16" s="1900"/>
      <c r="BJ16" s="1900"/>
      <c r="BK16" s="1900"/>
      <c r="BL16" s="1702"/>
      <c r="BM16" s="1702"/>
      <c r="BN16" s="1715"/>
      <c r="BO16" s="1715"/>
      <c r="BP16" s="1615"/>
      <c r="BQ16" s="1666"/>
      <c r="BS16" s="1560"/>
      <c r="BT16" s="1560"/>
      <c r="BU16" s="1560"/>
      <c r="BV16" s="1560"/>
    </row>
    <row r="17" spans="1:99" ht="12.75" customHeight="1" x14ac:dyDescent="0.2">
      <c r="A17" s="1611"/>
      <c r="B17" s="1608" t="s">
        <v>304</v>
      </c>
      <c r="C17" s="1615">
        <v>1842</v>
      </c>
      <c r="D17" s="1618">
        <v>7.6504547908792631E-2</v>
      </c>
      <c r="E17" s="1574"/>
      <c r="F17" s="1579"/>
      <c r="G17" s="1579"/>
      <c r="H17" s="1579"/>
      <c r="I17" s="2336">
        <v>25919</v>
      </c>
      <c r="J17" s="1709">
        <v>30932</v>
      </c>
      <c r="K17" s="1709">
        <v>28638</v>
      </c>
      <c r="L17" s="1709">
        <v>25773</v>
      </c>
      <c r="M17" s="1790">
        <v>24077</v>
      </c>
      <c r="N17" s="1709">
        <v>28159</v>
      </c>
      <c r="O17" s="1709">
        <v>21078</v>
      </c>
      <c r="P17" s="1709">
        <v>19404</v>
      </c>
      <c r="Q17" s="1790">
        <v>28394</v>
      </c>
      <c r="R17" s="1709">
        <v>31384</v>
      </c>
      <c r="S17" s="1709">
        <v>24519</v>
      </c>
      <c r="T17" s="1709">
        <v>21953</v>
      </c>
      <c r="U17" s="1790">
        <v>25374</v>
      </c>
      <c r="V17" s="1709">
        <v>23498</v>
      </c>
      <c r="W17" s="1709">
        <v>18709</v>
      </c>
      <c r="X17" s="1709">
        <v>19610</v>
      </c>
      <c r="Y17" s="1790">
        <v>18095</v>
      </c>
      <c r="Z17" s="1709">
        <v>11934</v>
      </c>
      <c r="AA17" s="1709">
        <v>8230</v>
      </c>
      <c r="AB17" s="1709">
        <v>8694</v>
      </c>
      <c r="AC17" s="1790">
        <v>13018</v>
      </c>
      <c r="AD17" s="1709" t="e">
        <v>#REF!</v>
      </c>
      <c r="AE17" s="1709" t="e">
        <v>#REF!</v>
      </c>
      <c r="AF17" s="1709" t="e">
        <v>#REF!</v>
      </c>
      <c r="AG17" s="1790"/>
      <c r="AH17" s="1709"/>
      <c r="AI17" s="1709"/>
      <c r="AJ17" s="1709"/>
      <c r="AK17" s="1790"/>
      <c r="AL17" s="1709"/>
      <c r="AM17" s="1709"/>
      <c r="AN17" s="1709"/>
      <c r="AO17" s="1790"/>
      <c r="AP17" s="1788"/>
      <c r="AQ17" s="1788"/>
      <c r="AR17" s="1788"/>
      <c r="AS17" s="1788"/>
      <c r="AT17" s="1795"/>
      <c r="AU17" s="1790"/>
      <c r="AV17" s="1790"/>
      <c r="AW17" s="1790"/>
      <c r="AX17" s="1749"/>
      <c r="AY17" s="1709">
        <v>109420</v>
      </c>
      <c r="AZ17" s="1709">
        <v>97035</v>
      </c>
      <c r="BA17" s="1701">
        <v>12385</v>
      </c>
      <c r="BB17" s="1618">
        <v>0.12763435873653836</v>
      </c>
      <c r="BC17" s="1622"/>
      <c r="BD17" s="1793">
        <v>109420</v>
      </c>
      <c r="BE17" s="1793">
        <v>97035</v>
      </c>
      <c r="BF17" s="1793">
        <v>103230</v>
      </c>
      <c r="BG17" s="1817">
        <v>79912</v>
      </c>
      <c r="BH17" s="1817">
        <v>41876</v>
      </c>
      <c r="BI17" s="1476">
        <v>54480</v>
      </c>
      <c r="BJ17" s="1493">
        <f>53240</f>
        <v>53240</v>
      </c>
      <c r="BK17" s="1493">
        <f>34505</f>
        <v>34505</v>
      </c>
      <c r="BL17" s="1493" t="e">
        <f>47949-#REF!</f>
        <v>#REF!</v>
      </c>
      <c r="BM17" s="1702"/>
      <c r="BN17" s="1715"/>
      <c r="BO17" s="1715"/>
      <c r="BP17" s="1615"/>
      <c r="BQ17" s="1666"/>
      <c r="BS17" s="1560"/>
      <c r="BT17" s="1560"/>
      <c r="BU17" s="1560"/>
      <c r="BV17" s="1560"/>
    </row>
    <row r="18" spans="1:99" ht="12.75" customHeight="1" x14ac:dyDescent="0.2">
      <c r="A18" s="1611"/>
      <c r="B18" s="969" t="s">
        <v>305</v>
      </c>
      <c r="C18" s="1619">
        <v>525</v>
      </c>
      <c r="D18" s="1620">
        <v>0.16025641025641027</v>
      </c>
      <c r="E18" s="1574"/>
      <c r="F18" s="1580"/>
      <c r="G18" s="1580"/>
      <c r="H18" s="1580"/>
      <c r="I18" s="2387">
        <v>3801</v>
      </c>
      <c r="J18" s="1721">
        <v>3237</v>
      </c>
      <c r="K18" s="1721">
        <v>2735</v>
      </c>
      <c r="L18" s="1721">
        <v>2780</v>
      </c>
      <c r="M18" s="1805">
        <v>3276</v>
      </c>
      <c r="N18" s="1721">
        <v>3202</v>
      </c>
      <c r="O18" s="1721">
        <v>2803</v>
      </c>
      <c r="P18" s="1721">
        <v>2641</v>
      </c>
      <c r="Q18" s="1805">
        <v>2106</v>
      </c>
      <c r="R18" s="1721">
        <v>1286</v>
      </c>
      <c r="S18" s="1721">
        <v>953</v>
      </c>
      <c r="T18" s="1721">
        <v>924</v>
      </c>
      <c r="U18" s="1805">
        <v>850</v>
      </c>
      <c r="V18" s="1721">
        <v>803</v>
      </c>
      <c r="W18" s="1721">
        <v>207</v>
      </c>
      <c r="X18" s="1721">
        <v>506</v>
      </c>
      <c r="Y18" s="1805">
        <v>925</v>
      </c>
      <c r="Z18" s="1721">
        <v>1237</v>
      </c>
      <c r="AA18" s="1721">
        <v>1164</v>
      </c>
      <c r="AB18" s="1721">
        <v>942</v>
      </c>
      <c r="AC18" s="1805">
        <v>1100</v>
      </c>
      <c r="AD18" s="1709">
        <v>327</v>
      </c>
      <c r="AE18" s="1709">
        <v>390</v>
      </c>
      <c r="AF18" s="1709">
        <v>1291</v>
      </c>
      <c r="AG18" s="1790"/>
      <c r="AH18" s="1709"/>
      <c r="AI18" s="1709"/>
      <c r="AJ18" s="1709"/>
      <c r="AK18" s="1790"/>
      <c r="AL18" s="1709"/>
      <c r="AM18" s="1709"/>
      <c r="AN18" s="1709"/>
      <c r="AO18" s="1790"/>
      <c r="AP18" s="1788"/>
      <c r="AQ18" s="1788"/>
      <c r="AR18" s="1788"/>
      <c r="AS18" s="1788"/>
      <c r="AT18" s="1795"/>
      <c r="AU18" s="1790"/>
      <c r="AV18" s="1790"/>
      <c r="AW18" s="1790"/>
      <c r="AX18" s="1749"/>
      <c r="AY18" s="1721">
        <v>12028</v>
      </c>
      <c r="AZ18" s="1721">
        <v>10752</v>
      </c>
      <c r="BA18" s="1722">
        <v>1276</v>
      </c>
      <c r="BB18" s="1620">
        <v>0.11867559523809523</v>
      </c>
      <c r="BC18" s="1622"/>
      <c r="BD18" s="1807">
        <v>12028</v>
      </c>
      <c r="BE18" s="1807">
        <v>10752</v>
      </c>
      <c r="BF18" s="1807">
        <v>4013</v>
      </c>
      <c r="BG18" s="1828">
        <v>2441</v>
      </c>
      <c r="BH18" s="1828">
        <v>4443</v>
      </c>
      <c r="BI18" s="1505">
        <v>2859</v>
      </c>
      <c r="BJ18" s="1551">
        <v>586</v>
      </c>
      <c r="BK18" s="1551">
        <v>151</v>
      </c>
      <c r="BL18" s="1493">
        <v>-803</v>
      </c>
      <c r="BM18" s="1702"/>
      <c r="BN18" s="1715"/>
      <c r="BO18" s="1715"/>
      <c r="BP18" s="1615"/>
      <c r="BQ18" s="1666"/>
      <c r="BR18" s="1603"/>
      <c r="BS18" s="1560"/>
      <c r="BT18" s="1560"/>
      <c r="BU18" s="1560"/>
      <c r="BV18" s="1560"/>
      <c r="BW18" s="1560"/>
      <c r="BX18" s="1560"/>
      <c r="BY18" s="1560"/>
      <c r="BZ18" s="1560"/>
      <c r="CA18" s="1560"/>
      <c r="CB18" s="1560"/>
      <c r="CC18" s="1560"/>
      <c r="CD18" s="1560"/>
      <c r="CE18" s="1560"/>
      <c r="CF18" s="1560"/>
      <c r="CG18" s="1560"/>
      <c r="CH18" s="1560"/>
      <c r="CI18" s="1560"/>
      <c r="CJ18" s="1560"/>
      <c r="CK18" s="1560"/>
      <c r="CL18" s="1560"/>
      <c r="CM18" s="1560"/>
      <c r="CN18" s="1560"/>
      <c r="CO18" s="1560"/>
      <c r="CP18" s="1560"/>
      <c r="CQ18" s="1560"/>
      <c r="CR18" s="1560"/>
      <c r="CS18" s="1560"/>
      <c r="CT18" s="1560"/>
      <c r="CU18" s="1560"/>
    </row>
    <row r="19" spans="1:99" ht="12.75" customHeight="1" x14ac:dyDescent="0.2">
      <c r="A19" s="1612"/>
      <c r="B19" s="1228" t="s">
        <v>209</v>
      </c>
      <c r="C19" s="1615">
        <v>2367</v>
      </c>
      <c r="D19" s="1618">
        <v>8.6535297773553177E-2</v>
      </c>
      <c r="E19" s="1574"/>
      <c r="F19" s="1579">
        <v>0</v>
      </c>
      <c r="G19" s="1579">
        <v>0</v>
      </c>
      <c r="H19" s="1579">
        <v>0</v>
      </c>
      <c r="I19" s="2336">
        <v>29720</v>
      </c>
      <c r="J19" s="1709">
        <v>34169</v>
      </c>
      <c r="K19" s="1709">
        <v>31373</v>
      </c>
      <c r="L19" s="1709">
        <v>28553</v>
      </c>
      <c r="M19" s="1790">
        <v>27353</v>
      </c>
      <c r="N19" s="1478">
        <v>31361</v>
      </c>
      <c r="O19" s="1478">
        <v>23881</v>
      </c>
      <c r="P19" s="1709">
        <v>22045</v>
      </c>
      <c r="Q19" s="1790">
        <v>30500</v>
      </c>
      <c r="R19" s="1478">
        <v>32670</v>
      </c>
      <c r="S19" s="1478">
        <v>25472</v>
      </c>
      <c r="T19" s="1709">
        <v>22877</v>
      </c>
      <c r="U19" s="1790">
        <v>26224</v>
      </c>
      <c r="V19" s="1478">
        <v>24301</v>
      </c>
      <c r="W19" s="1478">
        <v>18916</v>
      </c>
      <c r="X19" s="1709">
        <v>20116</v>
      </c>
      <c r="Y19" s="1790">
        <v>19020</v>
      </c>
      <c r="Z19" s="1709">
        <v>13171</v>
      </c>
      <c r="AA19" s="1478">
        <v>9394</v>
      </c>
      <c r="AB19" s="1478">
        <v>9636</v>
      </c>
      <c r="AC19" s="1477">
        <v>14118</v>
      </c>
      <c r="AD19" s="1478">
        <v>14656</v>
      </c>
      <c r="AE19" s="1478">
        <v>17670</v>
      </c>
      <c r="AF19" s="1478">
        <v>11063</v>
      </c>
      <c r="AG19" s="1477"/>
      <c r="AH19" s="1709"/>
      <c r="AI19" s="1709"/>
      <c r="AJ19" s="1709"/>
      <c r="AK19" s="1790"/>
      <c r="AL19" s="1709"/>
      <c r="AM19" s="1709"/>
      <c r="AN19" s="1709"/>
      <c r="AO19" s="1790"/>
      <c r="AP19" s="1788"/>
      <c r="AQ19" s="1788"/>
      <c r="AR19" s="1788"/>
      <c r="AS19" s="1788"/>
      <c r="AT19" s="1795"/>
      <c r="AU19" s="1790"/>
      <c r="AV19" s="1790"/>
      <c r="AW19" s="1790"/>
      <c r="AX19" s="1749"/>
      <c r="AY19" s="1709">
        <v>121448</v>
      </c>
      <c r="AZ19" s="1788">
        <v>107787</v>
      </c>
      <c r="BA19" s="1701">
        <v>13661</v>
      </c>
      <c r="BB19" s="1618">
        <v>0.12674070156883482</v>
      </c>
      <c r="BC19" s="1622"/>
      <c r="BD19" s="2247">
        <v>121448</v>
      </c>
      <c r="BE19" s="1817">
        <v>107787</v>
      </c>
      <c r="BF19" s="1817">
        <v>107243</v>
      </c>
      <c r="BG19" s="1817">
        <v>82353</v>
      </c>
      <c r="BH19" s="1817">
        <v>46319</v>
      </c>
      <c r="BI19" s="1894">
        <v>57339</v>
      </c>
      <c r="BJ19" s="1447">
        <v>53826</v>
      </c>
      <c r="BK19" s="1447">
        <v>34656</v>
      </c>
      <c r="BL19" s="1447">
        <v>47146</v>
      </c>
      <c r="BM19" s="1702">
        <v>98642</v>
      </c>
      <c r="BN19" s="1715">
        <v>82259</v>
      </c>
      <c r="BO19" s="1715">
        <v>47759</v>
      </c>
      <c r="BP19" s="1615">
        <v>120298</v>
      </c>
      <c r="BQ19" s="1666"/>
      <c r="BS19" s="1560"/>
      <c r="BT19" s="1560"/>
      <c r="BU19" s="1560"/>
      <c r="BV19" s="1560"/>
    </row>
    <row r="20" spans="1:99" ht="12.75" customHeight="1" x14ac:dyDescent="0.2">
      <c r="A20" s="1612"/>
      <c r="B20" s="1614" t="s">
        <v>66</v>
      </c>
      <c r="C20" s="1615">
        <v>681</v>
      </c>
      <c r="D20" s="1618">
        <v>0.29366106080206988</v>
      </c>
      <c r="E20" s="1574"/>
      <c r="F20" s="1579"/>
      <c r="G20" s="1400"/>
      <c r="H20" s="1579"/>
      <c r="I20" s="2336">
        <v>3000</v>
      </c>
      <c r="J20" s="1709">
        <v>3338</v>
      </c>
      <c r="K20" s="1478">
        <v>3179</v>
      </c>
      <c r="L20" s="1709">
        <v>2833</v>
      </c>
      <c r="M20" s="1790">
        <v>2319</v>
      </c>
      <c r="N20" s="1709">
        <v>2737</v>
      </c>
      <c r="O20" s="1478">
        <v>2522</v>
      </c>
      <c r="P20" s="1709">
        <v>2298</v>
      </c>
      <c r="Q20" s="1790">
        <v>2429</v>
      </c>
      <c r="R20" s="1709">
        <v>2431</v>
      </c>
      <c r="S20" s="1478">
        <v>2445</v>
      </c>
      <c r="T20" s="1709">
        <v>2608</v>
      </c>
      <c r="U20" s="1790">
        <v>2449</v>
      </c>
      <c r="V20" s="1709">
        <v>3061</v>
      </c>
      <c r="W20" s="1478">
        <v>2093</v>
      </c>
      <c r="X20" s="1709">
        <v>2346</v>
      </c>
      <c r="Y20" s="1790">
        <v>2564</v>
      </c>
      <c r="Z20" s="1709">
        <v>1303</v>
      </c>
      <c r="AA20" s="1478">
        <v>1048</v>
      </c>
      <c r="AB20" s="1478">
        <v>1128</v>
      </c>
      <c r="AC20" s="1477">
        <v>1093</v>
      </c>
      <c r="AD20" s="1478">
        <v>1169</v>
      </c>
      <c r="AE20" s="1478">
        <v>1250</v>
      </c>
      <c r="AF20" s="1478">
        <v>1315</v>
      </c>
      <c r="AG20" s="1477"/>
      <c r="AH20" s="1709"/>
      <c r="AI20" s="1709"/>
      <c r="AJ20" s="1709"/>
      <c r="AK20" s="1790"/>
      <c r="AL20" s="1709"/>
      <c r="AM20" s="1709"/>
      <c r="AN20" s="1709"/>
      <c r="AO20" s="1790"/>
      <c r="AP20" s="1788"/>
      <c r="AQ20" s="1788"/>
      <c r="AR20" s="1788"/>
      <c r="AS20" s="1788"/>
      <c r="AT20" s="1795"/>
      <c r="AU20" s="1790"/>
      <c r="AV20" s="1790"/>
      <c r="AW20" s="1790"/>
      <c r="AX20" s="1749"/>
      <c r="AY20" s="1709">
        <v>11669</v>
      </c>
      <c r="AZ20" s="1709">
        <v>9986</v>
      </c>
      <c r="BA20" s="1701">
        <v>1683</v>
      </c>
      <c r="BB20" s="1798">
        <v>0.16853595033046265</v>
      </c>
      <c r="BC20" s="1622"/>
      <c r="BD20" s="1793">
        <v>11669</v>
      </c>
      <c r="BE20" s="1793">
        <v>9986</v>
      </c>
      <c r="BF20" s="1793">
        <v>9933</v>
      </c>
      <c r="BG20" s="1817">
        <v>10064</v>
      </c>
      <c r="BH20" s="1817">
        <v>4572</v>
      </c>
      <c r="BI20" s="1054">
        <v>4921</v>
      </c>
      <c r="BJ20" s="1054">
        <v>4348</v>
      </c>
      <c r="BK20" s="1447">
        <v>5162</v>
      </c>
      <c r="BL20" s="1447">
        <v>4483</v>
      </c>
      <c r="BM20" s="1702">
        <v>1847</v>
      </c>
      <c r="BN20" s="1715">
        <v>2414</v>
      </c>
      <c r="BO20" s="1715">
        <v>6699</v>
      </c>
      <c r="BP20" s="1615">
        <v>12517</v>
      </c>
      <c r="BQ20" s="1666"/>
      <c r="BS20" s="1560"/>
      <c r="BT20" s="1560"/>
      <c r="BU20" s="1560"/>
      <c r="BV20" s="1560"/>
    </row>
    <row r="21" spans="1:99" x14ac:dyDescent="0.2">
      <c r="A21" s="1612"/>
      <c r="B21" s="1614" t="s">
        <v>92</v>
      </c>
      <c r="C21" s="1615">
        <v>-211</v>
      </c>
      <c r="D21" s="1618">
        <v>-2.844049063216067E-2</v>
      </c>
      <c r="E21" s="1574"/>
      <c r="F21" s="1579"/>
      <c r="G21" s="1400"/>
      <c r="H21" s="1579"/>
      <c r="I21" s="2336">
        <v>7208</v>
      </c>
      <c r="J21" s="1709">
        <v>7782</v>
      </c>
      <c r="K21" s="1478">
        <v>9077</v>
      </c>
      <c r="L21" s="1709">
        <v>7884</v>
      </c>
      <c r="M21" s="1790">
        <v>7419</v>
      </c>
      <c r="N21" s="1709">
        <v>7565</v>
      </c>
      <c r="O21" s="1478">
        <v>7710</v>
      </c>
      <c r="P21" s="1709">
        <v>6212</v>
      </c>
      <c r="Q21" s="1790">
        <v>6491</v>
      </c>
      <c r="R21" s="1709">
        <v>7866</v>
      </c>
      <c r="S21" s="1478">
        <v>5509</v>
      </c>
      <c r="T21" s="1709">
        <v>5109</v>
      </c>
      <c r="U21" s="1790">
        <v>6136</v>
      </c>
      <c r="V21" s="1709">
        <v>3964</v>
      </c>
      <c r="W21" s="1478">
        <v>3708</v>
      </c>
      <c r="X21" s="1709">
        <v>4437</v>
      </c>
      <c r="Y21" s="1790">
        <v>5699</v>
      </c>
      <c r="Z21" s="1709">
        <v>545</v>
      </c>
      <c r="AA21" s="1478">
        <v>1034</v>
      </c>
      <c r="AB21" s="1478">
        <v>1593</v>
      </c>
      <c r="AC21" s="1477">
        <v>1112</v>
      </c>
      <c r="AD21" s="1478">
        <v>999</v>
      </c>
      <c r="AE21" s="1478">
        <v>931</v>
      </c>
      <c r="AF21" s="1478">
        <v>997</v>
      </c>
      <c r="AG21" s="1477"/>
      <c r="AH21" s="1709"/>
      <c r="AI21" s="1709"/>
      <c r="AJ21" s="1709"/>
      <c r="AK21" s="1790"/>
      <c r="AL21" s="1709"/>
      <c r="AM21" s="1709"/>
      <c r="AN21" s="1709"/>
      <c r="AO21" s="1790"/>
      <c r="AP21" s="1788"/>
      <c r="AQ21" s="1788"/>
      <c r="AR21" s="1788"/>
      <c r="AS21" s="1788"/>
      <c r="AT21" s="1795"/>
      <c r="AU21" s="1790"/>
      <c r="AV21" s="1790"/>
      <c r="AW21" s="1790"/>
      <c r="AX21" s="1749"/>
      <c r="AY21" s="1709">
        <v>32162</v>
      </c>
      <c r="AZ21" s="1709">
        <v>27978</v>
      </c>
      <c r="BA21" s="1701">
        <v>4184</v>
      </c>
      <c r="BB21" s="1618">
        <v>0.14954607191364644</v>
      </c>
      <c r="BC21" s="1622"/>
      <c r="BD21" s="1793">
        <v>32162</v>
      </c>
      <c r="BE21" s="1793">
        <v>27978</v>
      </c>
      <c r="BF21" s="1793">
        <v>24620</v>
      </c>
      <c r="BG21" s="1817">
        <v>17808</v>
      </c>
      <c r="BH21" s="1817">
        <v>4284</v>
      </c>
      <c r="BI21" s="1054">
        <v>3997</v>
      </c>
      <c r="BJ21" s="1054">
        <v>5370</v>
      </c>
      <c r="BK21" s="1447">
        <v>8618</v>
      </c>
      <c r="BL21" s="1447">
        <v>8531</v>
      </c>
      <c r="BM21" s="1702">
        <v>2191</v>
      </c>
      <c r="BN21" s="1715">
        <v>2896</v>
      </c>
      <c r="BO21" s="1715">
        <v>1887</v>
      </c>
      <c r="BP21" s="1615">
        <v>3440</v>
      </c>
      <c r="BQ21" s="1666"/>
      <c r="BS21" s="1560"/>
      <c r="BT21" s="1560"/>
      <c r="BU21" s="1560"/>
      <c r="BV21" s="1560"/>
    </row>
    <row r="22" spans="1:99" ht="12.75" customHeight="1" x14ac:dyDescent="0.2">
      <c r="A22" s="1612"/>
      <c r="B22" s="1614" t="s">
        <v>68</v>
      </c>
      <c r="C22" s="1615">
        <v>-235</v>
      </c>
      <c r="D22" s="1621">
        <v>-8.545454545454545E-2</v>
      </c>
      <c r="E22" s="1574"/>
      <c r="F22" s="1579"/>
      <c r="G22" s="1400"/>
      <c r="H22" s="1579"/>
      <c r="I22" s="2336">
        <v>2515</v>
      </c>
      <c r="J22" s="1709">
        <v>2809</v>
      </c>
      <c r="K22" s="1478">
        <v>2362</v>
      </c>
      <c r="L22" s="1709">
        <v>2808</v>
      </c>
      <c r="M22" s="1790">
        <v>2750</v>
      </c>
      <c r="N22" s="1709">
        <v>2480</v>
      </c>
      <c r="O22" s="1478">
        <v>2348</v>
      </c>
      <c r="P22" s="1709">
        <v>2159</v>
      </c>
      <c r="Q22" s="1790">
        <v>2265</v>
      </c>
      <c r="R22" s="1709">
        <v>2216</v>
      </c>
      <c r="S22" s="1478">
        <v>2022</v>
      </c>
      <c r="T22" s="1709">
        <v>2084</v>
      </c>
      <c r="U22" s="1790">
        <v>1969</v>
      </c>
      <c r="V22" s="1709">
        <v>1846</v>
      </c>
      <c r="W22" s="1478">
        <v>1927</v>
      </c>
      <c r="X22" s="1709">
        <v>2385</v>
      </c>
      <c r="Y22" s="1790">
        <v>2263</v>
      </c>
      <c r="Z22" s="1709">
        <v>1345</v>
      </c>
      <c r="AA22" s="1478">
        <v>1204</v>
      </c>
      <c r="AB22" s="1478">
        <v>1323</v>
      </c>
      <c r="AC22" s="1477">
        <v>1159</v>
      </c>
      <c r="AD22" s="1478">
        <v>1182</v>
      </c>
      <c r="AE22" s="1478">
        <v>1109</v>
      </c>
      <c r="AF22" s="1478">
        <v>1096</v>
      </c>
      <c r="AG22" s="1477"/>
      <c r="AH22" s="1709"/>
      <c r="AI22" s="1709"/>
      <c r="AJ22" s="1709"/>
      <c r="AK22" s="1790"/>
      <c r="AL22" s="1709"/>
      <c r="AM22" s="1709"/>
      <c r="AN22" s="1709"/>
      <c r="AO22" s="1790"/>
      <c r="AP22" s="1788"/>
      <c r="AQ22" s="1788"/>
      <c r="AR22" s="1788"/>
      <c r="AS22" s="1788"/>
      <c r="AT22" s="1795"/>
      <c r="AU22" s="1790"/>
      <c r="AV22" s="1790"/>
      <c r="AW22" s="1790"/>
      <c r="AX22" s="1749"/>
      <c r="AY22" s="1709">
        <v>10729</v>
      </c>
      <c r="AZ22" s="1709">
        <v>9252</v>
      </c>
      <c r="BA22" s="1701">
        <v>1477</v>
      </c>
      <c r="BB22" s="1618">
        <v>0.15964115866839601</v>
      </c>
      <c r="BC22" s="1622"/>
      <c r="BD22" s="1793">
        <v>10729</v>
      </c>
      <c r="BE22" s="1793">
        <v>9252</v>
      </c>
      <c r="BF22" s="1793">
        <v>8291</v>
      </c>
      <c r="BG22" s="1817">
        <v>8421</v>
      </c>
      <c r="BH22" s="1817">
        <v>5031</v>
      </c>
      <c r="BI22" s="1054">
        <v>4451</v>
      </c>
      <c r="BJ22" s="1054">
        <v>4811</v>
      </c>
      <c r="BK22" s="1447">
        <v>5141</v>
      </c>
      <c r="BL22" s="1447">
        <v>4966</v>
      </c>
      <c r="BM22" s="1702">
        <v>3000</v>
      </c>
      <c r="BN22" s="1715">
        <v>2293</v>
      </c>
      <c r="BO22" s="1715">
        <v>1365</v>
      </c>
      <c r="BP22" s="1615">
        <v>4236</v>
      </c>
      <c r="BQ22" s="1666"/>
      <c r="BS22" s="1560"/>
      <c r="BT22" s="1560"/>
      <c r="BU22" s="1560"/>
      <c r="BV22" s="1560"/>
    </row>
    <row r="23" spans="1:99" ht="12.75" customHeight="1" x14ac:dyDescent="0.2">
      <c r="A23" s="1612"/>
      <c r="B23" s="1614" t="s">
        <v>69</v>
      </c>
      <c r="C23" s="1615">
        <v>-179</v>
      </c>
      <c r="D23" s="1618">
        <v>-4.7784303256807263E-2</v>
      </c>
      <c r="E23" s="1574"/>
      <c r="F23" s="1579"/>
      <c r="G23" s="1400"/>
      <c r="H23" s="1579"/>
      <c r="I23" s="2336">
        <v>3567</v>
      </c>
      <c r="J23" s="1709">
        <v>3888</v>
      </c>
      <c r="K23" s="1478">
        <v>4251</v>
      </c>
      <c r="L23" s="1709">
        <v>4108</v>
      </c>
      <c r="M23" s="1790">
        <v>3746</v>
      </c>
      <c r="N23" s="1709">
        <v>3902</v>
      </c>
      <c r="O23" s="1478">
        <v>3140</v>
      </c>
      <c r="P23" s="1709">
        <v>3516</v>
      </c>
      <c r="Q23" s="1790">
        <v>3328</v>
      </c>
      <c r="R23" s="1709">
        <v>2974</v>
      </c>
      <c r="S23" s="1478">
        <v>3141</v>
      </c>
      <c r="T23" s="1709">
        <v>2699</v>
      </c>
      <c r="U23" s="1790">
        <v>2676</v>
      </c>
      <c r="V23" s="1709">
        <v>2527</v>
      </c>
      <c r="W23" s="1478">
        <v>3290</v>
      </c>
      <c r="X23" s="1709">
        <v>3084</v>
      </c>
      <c r="Y23" s="1790">
        <v>3406</v>
      </c>
      <c r="Z23" s="1709">
        <v>1587</v>
      </c>
      <c r="AA23" s="1478">
        <v>1370</v>
      </c>
      <c r="AB23" s="1478">
        <v>1347</v>
      </c>
      <c r="AC23" s="1477">
        <v>1265</v>
      </c>
      <c r="AD23" s="1478">
        <v>1249</v>
      </c>
      <c r="AE23" s="1478">
        <v>1371</v>
      </c>
      <c r="AF23" s="1478">
        <v>1427</v>
      </c>
      <c r="AG23" s="1477"/>
      <c r="AH23" s="1709"/>
      <c r="AI23" s="1709"/>
      <c r="AJ23" s="1709"/>
      <c r="AK23" s="1790"/>
      <c r="AL23" s="1709"/>
      <c r="AM23" s="1709"/>
      <c r="AN23" s="1709"/>
      <c r="AO23" s="1790"/>
      <c r="AP23" s="1788"/>
      <c r="AQ23" s="1788"/>
      <c r="AR23" s="1788"/>
      <c r="AS23" s="1788"/>
      <c r="AT23" s="1795"/>
      <c r="AU23" s="1790"/>
      <c r="AV23" s="1790"/>
      <c r="AW23" s="1790"/>
      <c r="AX23" s="1749"/>
      <c r="AY23" s="1709">
        <v>15993</v>
      </c>
      <c r="AZ23" s="1709">
        <v>13886</v>
      </c>
      <c r="BA23" s="1701">
        <v>2107</v>
      </c>
      <c r="BB23" s="1618">
        <v>0.15173556099668731</v>
      </c>
      <c r="BC23" s="1622"/>
      <c r="BD23" s="1793">
        <v>15993</v>
      </c>
      <c r="BE23" s="1793">
        <v>13886</v>
      </c>
      <c r="BF23" s="1793">
        <v>11490</v>
      </c>
      <c r="BG23" s="1817">
        <v>12307</v>
      </c>
      <c r="BH23" s="1817">
        <v>5569</v>
      </c>
      <c r="BI23" s="1054">
        <v>5470</v>
      </c>
      <c r="BJ23" s="1054">
        <v>5005</v>
      </c>
      <c r="BK23" s="1447">
        <v>5056</v>
      </c>
      <c r="BL23" s="1447">
        <v>2571</v>
      </c>
      <c r="BM23" s="1702">
        <v>3930</v>
      </c>
      <c r="BN23" s="1715">
        <v>2980</v>
      </c>
      <c r="BO23" s="1715">
        <v>2274</v>
      </c>
      <c r="BP23" s="1615">
        <v>4205</v>
      </c>
      <c r="BQ23" s="1666"/>
      <c r="BS23" s="1560"/>
      <c r="BT23" s="1560"/>
      <c r="BU23" s="1560"/>
      <c r="BV23" s="1560"/>
    </row>
    <row r="24" spans="1:99" ht="12.75" customHeight="1" x14ac:dyDescent="0.2">
      <c r="A24" s="1612"/>
      <c r="B24" s="1614" t="s">
        <v>64</v>
      </c>
      <c r="C24" s="1615">
        <v>846</v>
      </c>
      <c r="D24" s="1618">
        <v>0.77401646843549865</v>
      </c>
      <c r="E24" s="1574"/>
      <c r="F24" s="1579"/>
      <c r="G24" s="1400"/>
      <c r="H24" s="1579"/>
      <c r="I24" s="2336">
        <v>1939</v>
      </c>
      <c r="J24" s="1709">
        <v>559</v>
      </c>
      <c r="K24" s="1478">
        <v>667</v>
      </c>
      <c r="L24" s="1709">
        <v>830</v>
      </c>
      <c r="M24" s="1790">
        <v>1093</v>
      </c>
      <c r="N24" s="1709">
        <v>699</v>
      </c>
      <c r="O24" s="1478">
        <v>481</v>
      </c>
      <c r="P24" s="1709">
        <v>750</v>
      </c>
      <c r="Q24" s="1790">
        <v>1778</v>
      </c>
      <c r="R24" s="1709">
        <v>1121</v>
      </c>
      <c r="S24" s="1478">
        <v>965</v>
      </c>
      <c r="T24" s="1709">
        <v>817</v>
      </c>
      <c r="U24" s="1790">
        <v>1237</v>
      </c>
      <c r="V24" s="1709">
        <v>393</v>
      </c>
      <c r="W24" s="1478">
        <v>442</v>
      </c>
      <c r="X24" s="1709">
        <v>502</v>
      </c>
      <c r="Y24" s="1790">
        <v>562</v>
      </c>
      <c r="Z24" s="1709">
        <v>81</v>
      </c>
      <c r="AA24" s="1478">
        <v>48</v>
      </c>
      <c r="AB24" s="1478">
        <v>56</v>
      </c>
      <c r="AC24" s="1477">
        <v>38</v>
      </c>
      <c r="AD24" s="1478">
        <v>41</v>
      </c>
      <c r="AE24" s="1478">
        <v>52</v>
      </c>
      <c r="AF24" s="1478">
        <v>30</v>
      </c>
      <c r="AG24" s="1477"/>
      <c r="AH24" s="1709"/>
      <c r="AI24" s="1709"/>
      <c r="AJ24" s="1709"/>
      <c r="AK24" s="1790"/>
      <c r="AL24" s="1709"/>
      <c r="AM24" s="1709"/>
      <c r="AN24" s="1709"/>
      <c r="AO24" s="1790"/>
      <c r="AP24" s="1788"/>
      <c r="AQ24" s="1788"/>
      <c r="AR24" s="1788"/>
      <c r="AS24" s="1788"/>
      <c r="AT24" s="1795"/>
      <c r="AU24" s="1790"/>
      <c r="AV24" s="1790"/>
      <c r="AW24" s="1790"/>
      <c r="AX24" s="1749"/>
      <c r="AY24" s="1709">
        <v>3149</v>
      </c>
      <c r="AZ24" s="1709">
        <v>3708</v>
      </c>
      <c r="BA24" s="1701">
        <v>-559</v>
      </c>
      <c r="BB24" s="1618">
        <v>-0.15075512405609492</v>
      </c>
      <c r="BC24" s="1622"/>
      <c r="BD24" s="1793">
        <v>3149</v>
      </c>
      <c r="BE24" s="1793">
        <v>3708</v>
      </c>
      <c r="BF24" s="1793">
        <v>4140</v>
      </c>
      <c r="BG24" s="1817">
        <v>1899</v>
      </c>
      <c r="BH24" s="1817">
        <v>223</v>
      </c>
      <c r="BI24" s="1054">
        <v>181</v>
      </c>
      <c r="BJ24" s="1054">
        <v>238</v>
      </c>
      <c r="BK24" s="1447">
        <v>170</v>
      </c>
      <c r="BL24" s="1447">
        <v>129</v>
      </c>
      <c r="BM24" s="1702">
        <v>551</v>
      </c>
      <c r="BN24" s="1715">
        <v>175</v>
      </c>
      <c r="BO24" s="1715">
        <v>114</v>
      </c>
      <c r="BP24" s="1615">
        <v>35</v>
      </c>
      <c r="BQ24" s="1666"/>
      <c r="BS24" s="1560"/>
      <c r="BT24" s="1560"/>
      <c r="BU24" s="1560"/>
      <c r="BV24" s="1560"/>
    </row>
    <row r="25" spans="1:99" ht="12.75" customHeight="1" x14ac:dyDescent="0.2">
      <c r="A25" s="1612"/>
      <c r="B25" s="1614" t="s">
        <v>70</v>
      </c>
      <c r="C25" s="1615">
        <v>-43</v>
      </c>
      <c r="D25" s="1618">
        <v>-8.7844739530132786E-3</v>
      </c>
      <c r="E25" s="1574"/>
      <c r="F25" s="1579"/>
      <c r="G25" s="1400"/>
      <c r="H25" s="1579"/>
      <c r="I25" s="2336">
        <v>4852</v>
      </c>
      <c r="J25" s="1709">
        <v>3649</v>
      </c>
      <c r="K25" s="1478">
        <v>6520</v>
      </c>
      <c r="L25" s="1709">
        <v>6568</v>
      </c>
      <c r="M25" s="1790">
        <v>4895</v>
      </c>
      <c r="N25" s="1709">
        <v>4169</v>
      </c>
      <c r="O25" s="1478">
        <v>6518</v>
      </c>
      <c r="P25" s="1709">
        <v>4524</v>
      </c>
      <c r="Q25" s="1790">
        <v>5014</v>
      </c>
      <c r="R25" s="1709">
        <v>5105</v>
      </c>
      <c r="S25" s="1478">
        <v>3641</v>
      </c>
      <c r="T25" s="1709">
        <v>2765</v>
      </c>
      <c r="U25" s="1790">
        <v>4603</v>
      </c>
      <c r="V25" s="1709">
        <v>4060</v>
      </c>
      <c r="W25" s="1478">
        <v>4237</v>
      </c>
      <c r="X25" s="1709">
        <v>3965</v>
      </c>
      <c r="Y25" s="1790">
        <v>4820</v>
      </c>
      <c r="Z25" s="1709">
        <v>3382</v>
      </c>
      <c r="AA25" s="1478">
        <v>3078</v>
      </c>
      <c r="AB25" s="1478">
        <v>3287</v>
      </c>
      <c r="AC25" s="1477">
        <v>3054</v>
      </c>
      <c r="AD25" s="1478">
        <v>2838</v>
      </c>
      <c r="AE25" s="1478">
        <v>3018</v>
      </c>
      <c r="AF25" s="1478">
        <v>2680</v>
      </c>
      <c r="AG25" s="1477"/>
      <c r="AH25" s="1709"/>
      <c r="AI25" s="1709"/>
      <c r="AJ25" s="1709"/>
      <c r="AK25" s="1790"/>
      <c r="AL25" s="1709"/>
      <c r="AM25" s="1709"/>
      <c r="AN25" s="1709"/>
      <c r="AO25" s="1790"/>
      <c r="AP25" s="1788"/>
      <c r="AQ25" s="1788"/>
      <c r="AR25" s="1788"/>
      <c r="AS25" s="1788"/>
      <c r="AT25" s="1795"/>
      <c r="AU25" s="1790"/>
      <c r="AV25" s="1790"/>
      <c r="AW25" s="1790"/>
      <c r="AX25" s="1749"/>
      <c r="AY25" s="1709">
        <v>21632</v>
      </c>
      <c r="AZ25" s="1709">
        <v>20225</v>
      </c>
      <c r="BA25" s="1701">
        <v>1407</v>
      </c>
      <c r="BB25" s="1618">
        <v>6.9567367119901108E-2</v>
      </c>
      <c r="BC25" s="1622"/>
      <c r="BD25" s="1793">
        <v>21632</v>
      </c>
      <c r="BE25" s="1793">
        <v>20225</v>
      </c>
      <c r="BF25" s="1793">
        <v>16114</v>
      </c>
      <c r="BG25" s="1817">
        <v>17082</v>
      </c>
      <c r="BH25" s="1817">
        <v>12801</v>
      </c>
      <c r="BI25" s="1054">
        <v>11446</v>
      </c>
      <c r="BJ25" s="1054">
        <v>8776</v>
      </c>
      <c r="BK25" s="1447">
        <v>13146</v>
      </c>
      <c r="BL25" s="1447">
        <v>12344</v>
      </c>
      <c r="BM25" s="1702">
        <v>12437</v>
      </c>
      <c r="BN25" s="1715">
        <v>11037</v>
      </c>
      <c r="BO25" s="1715">
        <v>6277</v>
      </c>
      <c r="BP25" s="1615">
        <v>7632</v>
      </c>
      <c r="BQ25" s="1666"/>
      <c r="BS25" s="1560"/>
      <c r="BT25" s="1560"/>
      <c r="BU25" s="1560"/>
      <c r="BV25" s="1560"/>
    </row>
    <row r="26" spans="1:99" ht="12.75" customHeight="1" x14ac:dyDescent="0.2">
      <c r="A26" s="1612"/>
      <c r="B26" s="1614" t="s">
        <v>71</v>
      </c>
      <c r="C26" s="1615">
        <v>129</v>
      </c>
      <c r="D26" s="1618">
        <v>0.35054347826086957</v>
      </c>
      <c r="E26" s="1582"/>
      <c r="F26" s="1579"/>
      <c r="G26" s="1400"/>
      <c r="H26" s="1579"/>
      <c r="I26" s="2336">
        <v>497</v>
      </c>
      <c r="J26" s="1709">
        <v>436</v>
      </c>
      <c r="K26" s="1478">
        <v>421</v>
      </c>
      <c r="L26" s="1709">
        <v>355</v>
      </c>
      <c r="M26" s="1790">
        <v>368</v>
      </c>
      <c r="N26" s="1709">
        <v>410</v>
      </c>
      <c r="O26" s="1478">
        <v>334</v>
      </c>
      <c r="P26" s="1709">
        <v>317</v>
      </c>
      <c r="Q26" s="1790">
        <v>309</v>
      </c>
      <c r="R26" s="1709">
        <v>309</v>
      </c>
      <c r="S26" s="1478">
        <v>290</v>
      </c>
      <c r="T26" s="1709">
        <v>273</v>
      </c>
      <c r="U26" s="1790">
        <v>262</v>
      </c>
      <c r="V26" s="1709">
        <v>201</v>
      </c>
      <c r="W26" s="1478">
        <v>213</v>
      </c>
      <c r="X26" s="1709">
        <v>406</v>
      </c>
      <c r="Y26" s="1790">
        <v>442</v>
      </c>
      <c r="Z26" s="1709">
        <v>552</v>
      </c>
      <c r="AA26" s="1478">
        <v>320</v>
      </c>
      <c r="AB26" s="1478">
        <v>313</v>
      </c>
      <c r="AC26" s="1477">
        <v>243</v>
      </c>
      <c r="AD26" s="1478">
        <v>201</v>
      </c>
      <c r="AE26" s="1478">
        <v>258</v>
      </c>
      <c r="AF26" s="1478">
        <v>276</v>
      </c>
      <c r="AG26" s="1477"/>
      <c r="AH26" s="1709"/>
      <c r="AI26" s="1709"/>
      <c r="AJ26" s="1709"/>
      <c r="AK26" s="1790"/>
      <c r="AL26" s="1709"/>
      <c r="AM26" s="1709"/>
      <c r="AN26" s="1709"/>
      <c r="AO26" s="1790"/>
      <c r="AP26" s="1788"/>
      <c r="AQ26" s="1788"/>
      <c r="AR26" s="1788"/>
      <c r="AS26" s="1788"/>
      <c r="AT26" s="1795"/>
      <c r="AU26" s="1790"/>
      <c r="AV26" s="1790"/>
      <c r="AW26" s="1790"/>
      <c r="AX26" s="1749"/>
      <c r="AY26" s="1709">
        <v>1580</v>
      </c>
      <c r="AZ26" s="1709">
        <v>1370</v>
      </c>
      <c r="BA26" s="1701">
        <v>210</v>
      </c>
      <c r="BB26" s="1618">
        <v>0.15328467153284672</v>
      </c>
      <c r="BC26" s="1622"/>
      <c r="BD26" s="1793">
        <v>1580</v>
      </c>
      <c r="BE26" s="1793">
        <v>1370</v>
      </c>
      <c r="BF26" s="1793">
        <v>1134</v>
      </c>
      <c r="BG26" s="1817">
        <v>1262</v>
      </c>
      <c r="BH26" s="1817">
        <v>1428</v>
      </c>
      <c r="BI26" s="1054">
        <v>997</v>
      </c>
      <c r="BJ26" s="1054">
        <v>1123</v>
      </c>
      <c r="BK26" s="1447">
        <v>1098</v>
      </c>
      <c r="BL26" s="1447">
        <v>1106</v>
      </c>
      <c r="BM26" s="1702">
        <v>1063</v>
      </c>
      <c r="BN26" s="1715">
        <v>893</v>
      </c>
      <c r="BO26" s="1715">
        <v>470</v>
      </c>
      <c r="BP26" s="1615">
        <v>1291</v>
      </c>
      <c r="BQ26" s="1666"/>
      <c r="BS26" s="1560"/>
      <c r="BT26" s="1560"/>
      <c r="BU26" s="1560"/>
      <c r="BV26" s="1560"/>
    </row>
    <row r="27" spans="1:99" ht="12.75" customHeight="1" x14ac:dyDescent="0.2">
      <c r="A27" s="1608"/>
      <c r="B27" s="1614" t="s">
        <v>72</v>
      </c>
      <c r="C27" s="1615">
        <v>-214</v>
      </c>
      <c r="D27" s="1618">
        <v>-0.33075734157650694</v>
      </c>
      <c r="E27" s="1574"/>
      <c r="F27" s="1577"/>
      <c r="G27" s="1400"/>
      <c r="H27" s="1579"/>
      <c r="I27" s="2351">
        <v>433</v>
      </c>
      <c r="J27" s="1696">
        <v>874</v>
      </c>
      <c r="K27" s="1478">
        <v>624</v>
      </c>
      <c r="L27" s="1709">
        <v>699</v>
      </c>
      <c r="M27" s="1901">
        <v>647</v>
      </c>
      <c r="N27" s="1696">
        <v>591</v>
      </c>
      <c r="O27" s="1478">
        <v>1793</v>
      </c>
      <c r="P27" s="1709">
        <v>1133</v>
      </c>
      <c r="Q27" s="1901">
        <v>1429</v>
      </c>
      <c r="R27" s="1696">
        <v>1196</v>
      </c>
      <c r="S27" s="1478">
        <v>1202</v>
      </c>
      <c r="T27" s="1709">
        <v>917</v>
      </c>
      <c r="U27" s="1901">
        <v>614</v>
      </c>
      <c r="V27" s="1696">
        <v>762</v>
      </c>
      <c r="W27" s="1478">
        <v>1031</v>
      </c>
      <c r="X27" s="1709">
        <v>1301</v>
      </c>
      <c r="Y27" s="1901">
        <v>1665</v>
      </c>
      <c r="Z27" s="1696">
        <v>1123</v>
      </c>
      <c r="AA27" s="1478">
        <v>1039</v>
      </c>
      <c r="AB27" s="1478">
        <v>1211</v>
      </c>
      <c r="AC27" s="1477">
        <v>1162</v>
      </c>
      <c r="AD27" s="1478">
        <v>503</v>
      </c>
      <c r="AE27" s="1478">
        <v>1204</v>
      </c>
      <c r="AF27" s="1478">
        <v>1025</v>
      </c>
      <c r="AG27" s="1477"/>
      <c r="AH27" s="1709"/>
      <c r="AI27" s="1709"/>
      <c r="AJ27" s="1709"/>
      <c r="AK27" s="1790"/>
      <c r="AL27" s="1709"/>
      <c r="AM27" s="1709"/>
      <c r="AN27" s="1709"/>
      <c r="AO27" s="1790"/>
      <c r="AP27" s="1788"/>
      <c r="AQ27" s="1788"/>
      <c r="AR27" s="1788"/>
      <c r="AS27" s="1788"/>
      <c r="AT27" s="1795"/>
      <c r="AU27" s="1790"/>
      <c r="AV27" s="1790"/>
      <c r="AW27" s="1790"/>
      <c r="AX27" s="1749"/>
      <c r="AY27" s="1709">
        <v>2844</v>
      </c>
      <c r="AZ27" s="1709">
        <v>4946</v>
      </c>
      <c r="BA27" s="1701">
        <v>-2102</v>
      </c>
      <c r="BB27" s="1618">
        <v>-0.42498989082086536</v>
      </c>
      <c r="BC27" s="1622"/>
      <c r="BD27" s="1793">
        <v>2844</v>
      </c>
      <c r="BE27" s="1793">
        <v>4946</v>
      </c>
      <c r="BF27" s="1793">
        <v>3929</v>
      </c>
      <c r="BG27" s="1817">
        <v>4759</v>
      </c>
      <c r="BH27" s="1817">
        <v>4535</v>
      </c>
      <c r="BI27" s="1054">
        <v>3033</v>
      </c>
      <c r="BJ27" s="1054">
        <v>4075</v>
      </c>
      <c r="BK27" s="1447">
        <v>11506</v>
      </c>
      <c r="BL27" s="1447">
        <v>16878</v>
      </c>
      <c r="BM27" s="1702">
        <v>1510</v>
      </c>
      <c r="BN27" s="1715">
        <v>538</v>
      </c>
      <c r="BO27" s="1715">
        <v>590</v>
      </c>
      <c r="BP27" s="1615">
        <v>836</v>
      </c>
      <c r="BQ27" s="1666"/>
      <c r="BS27" s="1560"/>
      <c r="BT27" s="1560"/>
      <c r="BU27" s="1560"/>
      <c r="BV27" s="1560"/>
    </row>
    <row r="28" spans="1:99" ht="12.75" customHeight="1" x14ac:dyDescent="0.2">
      <c r="A28" s="1612"/>
      <c r="B28" s="1608" t="s">
        <v>160</v>
      </c>
      <c r="C28" s="1615">
        <v>0</v>
      </c>
      <c r="D28" s="1618">
        <v>0</v>
      </c>
      <c r="E28" s="1574"/>
      <c r="F28" s="1585"/>
      <c r="G28" s="933"/>
      <c r="H28" s="1584"/>
      <c r="I28" s="2352">
        <v>0</v>
      </c>
      <c r="J28" s="1744">
        <v>407</v>
      </c>
      <c r="K28" s="1028">
        <v>1632</v>
      </c>
      <c r="L28" s="1632">
        <v>0</v>
      </c>
      <c r="M28" s="1059">
        <v>0</v>
      </c>
      <c r="N28" s="1744">
        <v>7348</v>
      </c>
      <c r="O28" s="1028">
        <v>0</v>
      </c>
      <c r="P28" s="1632">
        <v>0</v>
      </c>
      <c r="Q28" s="1059">
        <v>0</v>
      </c>
      <c r="R28" s="1744">
        <v>0</v>
      </c>
      <c r="S28" s="1028">
        <v>0</v>
      </c>
      <c r="T28" s="1632">
        <v>0</v>
      </c>
      <c r="U28" s="1059">
        <v>0</v>
      </c>
      <c r="V28" s="1744">
        <v>0</v>
      </c>
      <c r="W28" s="1028">
        <v>2985</v>
      </c>
      <c r="X28" s="1632">
        <v>3820</v>
      </c>
      <c r="Y28" s="1059">
        <v>0</v>
      </c>
      <c r="Z28" s="1744">
        <v>2758</v>
      </c>
      <c r="AA28" s="1028">
        <v>408</v>
      </c>
      <c r="AB28" s="1028">
        <v>0</v>
      </c>
      <c r="AC28" s="1059">
        <v>0</v>
      </c>
      <c r="AD28" s="1744">
        <v>0</v>
      </c>
      <c r="AE28" s="1028">
        <v>0</v>
      </c>
      <c r="AF28" s="1028">
        <v>0</v>
      </c>
      <c r="AG28" s="1902"/>
      <c r="AH28" s="1903"/>
      <c r="AI28" s="1904"/>
      <c r="AJ28" s="1904"/>
      <c r="AK28" s="1905"/>
      <c r="AL28" s="1709"/>
      <c r="AM28" s="1709"/>
      <c r="AN28" s="1904"/>
      <c r="AO28" s="1905"/>
      <c r="AP28" s="1906"/>
      <c r="AQ28" s="1632"/>
      <c r="AR28" s="1632"/>
      <c r="AS28" s="1632"/>
      <c r="AT28" s="1907"/>
      <c r="AU28" s="1908"/>
      <c r="AV28" s="1790"/>
      <c r="AW28" s="1790"/>
      <c r="AX28" s="1749"/>
      <c r="AY28" s="1796">
        <v>2039</v>
      </c>
      <c r="AZ28" s="1028">
        <v>7348</v>
      </c>
      <c r="BA28" s="1701">
        <v>-5309</v>
      </c>
      <c r="BB28" s="1618">
        <v>-0.72250952640174193</v>
      </c>
      <c r="BC28" s="1622"/>
      <c r="BD28" s="1793">
        <v>2039</v>
      </c>
      <c r="BE28" s="1909">
        <v>7348</v>
      </c>
      <c r="BF28" s="1909">
        <v>0</v>
      </c>
      <c r="BG28" s="1910">
        <v>6805</v>
      </c>
      <c r="BH28" s="1910">
        <v>3166</v>
      </c>
      <c r="BI28" s="1060">
        <v>0</v>
      </c>
      <c r="BJ28" s="1909">
        <v>0</v>
      </c>
      <c r="BK28" s="1909">
        <v>0</v>
      </c>
      <c r="BL28" s="1762">
        <v>0</v>
      </c>
      <c r="BM28" s="1746">
        <v>0</v>
      </c>
      <c r="BN28" s="1746">
        <v>0</v>
      </c>
      <c r="BO28" s="1715">
        <v>0</v>
      </c>
      <c r="BP28" s="1615">
        <v>0</v>
      </c>
      <c r="BQ28" s="1666"/>
      <c r="BS28" s="1560"/>
      <c r="BT28" s="1560"/>
      <c r="BU28" s="1560"/>
      <c r="BV28" s="1560"/>
    </row>
    <row r="29" spans="1:99" ht="12.75" customHeight="1" x14ac:dyDescent="0.2">
      <c r="A29" s="1608"/>
      <c r="B29" s="1608" t="s">
        <v>442</v>
      </c>
      <c r="C29" s="1615">
        <v>0</v>
      </c>
      <c r="D29" s="1618">
        <v>0</v>
      </c>
      <c r="E29" s="1574"/>
      <c r="F29" s="933"/>
      <c r="G29" s="933"/>
      <c r="H29" s="2327"/>
      <c r="I29" s="2351">
        <v>0</v>
      </c>
      <c r="J29" s="1028">
        <v>0</v>
      </c>
      <c r="K29" s="1028">
        <v>15957</v>
      </c>
      <c r="L29" s="1728">
        <v>0</v>
      </c>
      <c r="M29" s="1901">
        <v>0</v>
      </c>
      <c r="N29" s="1028">
        <v>0</v>
      </c>
      <c r="O29" s="1028">
        <v>0</v>
      </c>
      <c r="P29" s="1728">
        <v>0</v>
      </c>
      <c r="Q29" s="1901">
        <v>0</v>
      </c>
      <c r="R29" s="1028">
        <v>0</v>
      </c>
      <c r="S29" s="1028">
        <v>0</v>
      </c>
      <c r="T29" s="1728">
        <v>0</v>
      </c>
      <c r="U29" s="1901">
        <v>0</v>
      </c>
      <c r="V29" s="1028">
        <v>0</v>
      </c>
      <c r="W29" s="1028">
        <v>0</v>
      </c>
      <c r="X29" s="1728">
        <v>0</v>
      </c>
      <c r="Y29" s="1901">
        <v>0</v>
      </c>
      <c r="Z29" s="1028">
        <v>438</v>
      </c>
      <c r="AA29" s="1028">
        <v>0</v>
      </c>
      <c r="AB29" s="1744">
        <v>0</v>
      </c>
      <c r="AC29" s="1901">
        <v>0</v>
      </c>
      <c r="AD29" s="1028">
        <v>0</v>
      </c>
      <c r="AE29" s="1028">
        <v>0</v>
      </c>
      <c r="AF29" s="1744">
        <v>0</v>
      </c>
      <c r="AG29" s="1901"/>
      <c r="AH29" s="1709"/>
      <c r="AI29" s="1903"/>
      <c r="AJ29" s="1903"/>
      <c r="AK29" s="1911"/>
      <c r="AL29" s="1903"/>
      <c r="AM29" s="1903"/>
      <c r="AN29" s="1903"/>
      <c r="AO29" s="1912"/>
      <c r="AP29" s="1821"/>
      <c r="AQ29" s="1821"/>
      <c r="AR29" s="1821"/>
      <c r="AS29" s="1821"/>
      <c r="AT29" s="1913"/>
      <c r="AU29" s="1912"/>
      <c r="AV29" s="1912"/>
      <c r="AW29" s="1912"/>
      <c r="AX29" s="1739"/>
      <c r="AY29" s="1796">
        <v>15957</v>
      </c>
      <c r="AZ29" s="1914">
        <v>0</v>
      </c>
      <c r="BA29" s="1701">
        <v>15957</v>
      </c>
      <c r="BB29" s="1618" t="s">
        <v>42</v>
      </c>
      <c r="BC29" s="1916"/>
      <c r="BD29" s="1793">
        <v>15957</v>
      </c>
      <c r="BE29" s="1909">
        <v>0</v>
      </c>
      <c r="BF29" s="1909">
        <v>0</v>
      </c>
      <c r="BG29" s="1060">
        <v>0</v>
      </c>
      <c r="BH29" s="1060">
        <v>438</v>
      </c>
      <c r="BI29" s="1060">
        <v>0</v>
      </c>
      <c r="BJ29" s="1762">
        <v>0</v>
      </c>
      <c r="BK29" s="1762">
        <v>0</v>
      </c>
      <c r="BL29" s="1762">
        <v>0</v>
      </c>
      <c r="BM29" s="1738">
        <v>0</v>
      </c>
      <c r="BN29" s="1739">
        <v>0</v>
      </c>
      <c r="BO29" s="1715"/>
      <c r="BP29" s="1615">
        <v>0</v>
      </c>
      <c r="BQ29" s="1666"/>
      <c r="BS29" s="1560"/>
      <c r="BT29" s="1560"/>
      <c r="BU29" s="1560"/>
      <c r="BV29" s="1560"/>
    </row>
    <row r="30" spans="1:99" ht="12.75" customHeight="1" x14ac:dyDescent="0.2">
      <c r="A30" s="1612"/>
      <c r="B30" s="1608"/>
      <c r="C30" s="1616">
        <v>3141</v>
      </c>
      <c r="D30" s="1617">
        <v>6.2087369045265864E-2</v>
      </c>
      <c r="E30" s="1574"/>
      <c r="F30" s="1879">
        <v>0</v>
      </c>
      <c r="G30" s="1879">
        <v>0</v>
      </c>
      <c r="H30" s="1879">
        <v>0</v>
      </c>
      <c r="I30" s="2337">
        <v>53731</v>
      </c>
      <c r="J30" s="1896">
        <v>57911</v>
      </c>
      <c r="K30" s="1896">
        <v>76063</v>
      </c>
      <c r="L30" s="1896">
        <v>54638</v>
      </c>
      <c r="M30" s="1791">
        <v>50590</v>
      </c>
      <c r="N30" s="1896">
        <v>61262</v>
      </c>
      <c r="O30" s="1896">
        <v>48727</v>
      </c>
      <c r="P30" s="1896">
        <v>42954</v>
      </c>
      <c r="Q30" s="1791">
        <v>53543</v>
      </c>
      <c r="R30" s="1896">
        <v>55888</v>
      </c>
      <c r="S30" s="1896">
        <v>44687</v>
      </c>
      <c r="T30" s="1896">
        <v>40149</v>
      </c>
      <c r="U30" s="1791">
        <v>46170</v>
      </c>
      <c r="V30" s="1896">
        <v>41115</v>
      </c>
      <c r="W30" s="1896">
        <v>38842</v>
      </c>
      <c r="X30" s="1896">
        <v>42362</v>
      </c>
      <c r="Y30" s="1791">
        <v>40441</v>
      </c>
      <c r="Z30" s="1896">
        <v>26285</v>
      </c>
      <c r="AA30" s="1896">
        <v>18943</v>
      </c>
      <c r="AB30" s="1896">
        <v>19894</v>
      </c>
      <c r="AC30" s="1791">
        <v>23244</v>
      </c>
      <c r="AD30" s="1917">
        <v>22838</v>
      </c>
      <c r="AE30" s="1917">
        <v>26863</v>
      </c>
      <c r="AF30" s="1896">
        <v>19909</v>
      </c>
      <c r="AG30" s="1791">
        <v>0</v>
      </c>
      <c r="AH30" s="1896">
        <v>27693</v>
      </c>
      <c r="AI30" s="1917">
        <v>37922</v>
      </c>
      <c r="AJ30" s="1896">
        <v>19480</v>
      </c>
      <c r="AK30" s="1791">
        <v>22187</v>
      </c>
      <c r="AL30" s="1917">
        <v>0</v>
      </c>
      <c r="AM30" s="1917">
        <v>0</v>
      </c>
      <c r="AN30" s="1917">
        <v>0</v>
      </c>
      <c r="AO30" s="1791">
        <v>0</v>
      </c>
      <c r="AP30" s="1917">
        <v>0</v>
      </c>
      <c r="AQ30" s="1917">
        <v>87449</v>
      </c>
      <c r="AR30" s="1897">
        <v>74128</v>
      </c>
      <c r="AS30" s="1917">
        <v>106349</v>
      </c>
      <c r="AT30" s="1789">
        <v>100905</v>
      </c>
      <c r="AU30" s="1791">
        <v>75317</v>
      </c>
      <c r="AV30" s="1791">
        <v>70703</v>
      </c>
      <c r="AW30" s="1917">
        <v>91522</v>
      </c>
      <c r="AX30" s="1749"/>
      <c r="AY30" s="1896">
        <v>239202</v>
      </c>
      <c r="AZ30" s="1896">
        <v>206486</v>
      </c>
      <c r="BA30" s="1918">
        <v>32716</v>
      </c>
      <c r="BB30" s="1751">
        <v>0.15844173454858926</v>
      </c>
      <c r="BC30" s="1608"/>
      <c r="BD30" s="2248">
        <v>239202</v>
      </c>
      <c r="BE30" s="1752">
        <v>206486</v>
      </c>
      <c r="BF30" s="1752">
        <v>186894</v>
      </c>
      <c r="BG30" s="1752">
        <v>162760</v>
      </c>
      <c r="BH30" s="1752">
        <v>88366</v>
      </c>
      <c r="BI30" s="1752">
        <v>91835</v>
      </c>
      <c r="BJ30" s="1752">
        <f t="shared" ref="BJ30:BO30" si="0">SUM(BJ19:BJ29)</f>
        <v>87572</v>
      </c>
      <c r="BK30" s="1752">
        <f t="shared" si="0"/>
        <v>84553</v>
      </c>
      <c r="BL30" s="1752">
        <f t="shared" si="0"/>
        <v>98154</v>
      </c>
      <c r="BM30" s="1752">
        <f t="shared" si="0"/>
        <v>125171</v>
      </c>
      <c r="BN30" s="1753">
        <f t="shared" si="0"/>
        <v>105485</v>
      </c>
      <c r="BO30" s="1753">
        <f t="shared" si="0"/>
        <v>67435</v>
      </c>
      <c r="BP30" s="1616">
        <v>154490</v>
      </c>
      <c r="BQ30" s="1666"/>
      <c r="BS30" s="1560"/>
      <c r="BT30" s="1560"/>
      <c r="BU30" s="1560"/>
      <c r="BV30" s="1560"/>
    </row>
    <row r="31" spans="1:99" s="1588" customFormat="1" ht="24.95" customHeight="1" thickBot="1" x14ac:dyDescent="0.25">
      <c r="A31" s="2480" t="s">
        <v>179</v>
      </c>
      <c r="B31" s="2481"/>
      <c r="C31" s="1616">
        <v>-4217</v>
      </c>
      <c r="D31" s="1617">
        <v>-1.0076463560334528</v>
      </c>
      <c r="E31" s="1574"/>
      <c r="F31" s="1586">
        <v>0</v>
      </c>
      <c r="G31" s="1586">
        <v>0</v>
      </c>
      <c r="H31" s="1586">
        <v>0</v>
      </c>
      <c r="I31" s="2331">
        <v>-32</v>
      </c>
      <c r="J31" s="1754">
        <v>-2649</v>
      </c>
      <c r="K31" s="1754">
        <v>-24621</v>
      </c>
      <c r="L31" s="1754">
        <v>1294</v>
      </c>
      <c r="M31" s="1755">
        <v>4185</v>
      </c>
      <c r="N31" s="1754">
        <v>-4747</v>
      </c>
      <c r="O31" s="1754">
        <v>-5234</v>
      </c>
      <c r="P31" s="1754">
        <v>-2251</v>
      </c>
      <c r="Q31" s="1755">
        <v>8718</v>
      </c>
      <c r="R31" s="1754">
        <v>15385</v>
      </c>
      <c r="S31" s="1754">
        <v>3582</v>
      </c>
      <c r="T31" s="1754">
        <v>3851</v>
      </c>
      <c r="U31" s="1755">
        <v>6773</v>
      </c>
      <c r="V31" s="1754">
        <v>4091</v>
      </c>
      <c r="W31" s="1754">
        <v>-1217</v>
      </c>
      <c r="X31" s="1754">
        <v>-2888</v>
      </c>
      <c r="Y31" s="1755">
        <v>-9391</v>
      </c>
      <c r="Z31" s="1754">
        <v>-7798</v>
      </c>
      <c r="AA31" s="1754">
        <v>-1746</v>
      </c>
      <c r="AB31" s="1754">
        <v>-2104</v>
      </c>
      <c r="AC31" s="1755">
        <v>2768</v>
      </c>
      <c r="AD31" s="1754">
        <v>4874</v>
      </c>
      <c r="AE31" s="1754">
        <v>5755</v>
      </c>
      <c r="AF31" s="1728">
        <v>174</v>
      </c>
      <c r="AG31" s="1755">
        <v>0</v>
      </c>
      <c r="AH31" s="1728">
        <v>-27693</v>
      </c>
      <c r="AI31" s="1754">
        <v>-37922</v>
      </c>
      <c r="AJ31" s="1728">
        <v>-19480</v>
      </c>
      <c r="AK31" s="1755">
        <v>-22187</v>
      </c>
      <c r="AL31" s="1754">
        <v>0</v>
      </c>
      <c r="AM31" s="1754">
        <v>0</v>
      </c>
      <c r="AN31" s="1754">
        <v>0</v>
      </c>
      <c r="AO31" s="1755">
        <v>0</v>
      </c>
      <c r="AP31" s="1754">
        <v>0</v>
      </c>
      <c r="AQ31" s="1704">
        <v>22134</v>
      </c>
      <c r="AR31" s="1703">
        <v>14943</v>
      </c>
      <c r="AS31" s="1704">
        <v>48674</v>
      </c>
      <c r="AT31" s="1704">
        <v>29246</v>
      </c>
      <c r="AU31" s="1704">
        <v>26110</v>
      </c>
      <c r="AV31" s="1704">
        <v>22330</v>
      </c>
      <c r="AW31" s="1704">
        <v>33584</v>
      </c>
      <c r="AX31" s="1733"/>
      <c r="AY31" s="1754">
        <v>-21791</v>
      </c>
      <c r="AZ31" s="1754">
        <v>-3514</v>
      </c>
      <c r="BA31" s="1475">
        <v>-18277</v>
      </c>
      <c r="BB31" s="1617" t="s">
        <v>42</v>
      </c>
      <c r="BC31" s="1633"/>
      <c r="BD31" s="2242">
        <v>-21791</v>
      </c>
      <c r="BE31" s="1484">
        <v>-3514</v>
      </c>
      <c r="BF31" s="1707">
        <v>29591</v>
      </c>
      <c r="BG31" s="1484">
        <v>-9405</v>
      </c>
      <c r="BH31" s="1484">
        <v>-8880</v>
      </c>
      <c r="BI31" s="1707">
        <v>14384</v>
      </c>
      <c r="BJ31" s="1707">
        <f t="shared" ref="BJ31:BO31" si="1">BJ15-BJ30</f>
        <v>10057</v>
      </c>
      <c r="BK31" s="1707">
        <f t="shared" si="1"/>
        <v>-9759</v>
      </c>
      <c r="BL31" s="1756">
        <f t="shared" si="1"/>
        <v>-7366</v>
      </c>
      <c r="BM31" s="1756">
        <f t="shared" si="1"/>
        <v>62391</v>
      </c>
      <c r="BN31" s="1708">
        <f t="shared" si="1"/>
        <v>44985</v>
      </c>
      <c r="BO31" s="1708">
        <f t="shared" si="1"/>
        <v>28124</v>
      </c>
      <c r="BP31" s="1919">
        <v>57268</v>
      </c>
      <c r="BQ31" s="1920"/>
      <c r="BR31" s="2356"/>
      <c r="BS31" s="1587"/>
      <c r="BT31" s="1587"/>
      <c r="BU31" s="1587"/>
      <c r="BV31" s="1587"/>
    </row>
    <row r="32" spans="1:99" s="1588" customFormat="1" ht="12.75" customHeight="1" thickTop="1" x14ac:dyDescent="0.2">
      <c r="A32" s="2276"/>
      <c r="B32" s="1624" t="s">
        <v>347</v>
      </c>
      <c r="C32" s="1616">
        <v>-3</v>
      </c>
      <c r="D32" s="1617">
        <v>-3.9840637450199202E-3</v>
      </c>
      <c r="E32" s="1574"/>
      <c r="F32" s="1882"/>
      <c r="G32" s="1882"/>
      <c r="H32" s="1882"/>
      <c r="I32" s="2305">
        <v>750</v>
      </c>
      <c r="J32" s="1924">
        <v>750</v>
      </c>
      <c r="K32" s="1924">
        <v>750</v>
      </c>
      <c r="L32" s="1924">
        <v>748</v>
      </c>
      <c r="M32" s="1481">
        <v>753</v>
      </c>
      <c r="N32" s="1924">
        <v>752</v>
      </c>
      <c r="O32" s="1924">
        <v>752</v>
      </c>
      <c r="P32" s="1924">
        <v>752</v>
      </c>
      <c r="Q32" s="1481">
        <v>748</v>
      </c>
      <c r="R32" s="1924">
        <v>749</v>
      </c>
      <c r="S32" s="1924">
        <v>676</v>
      </c>
      <c r="T32" s="1924">
        <v>751</v>
      </c>
      <c r="U32" s="1481">
        <v>525</v>
      </c>
      <c r="V32" s="1922">
        <v>0</v>
      </c>
      <c r="W32" s="1925">
        <v>0</v>
      </c>
      <c r="X32" s="1925">
        <v>0</v>
      </c>
      <c r="Y32" s="1926">
        <v>0</v>
      </c>
      <c r="Z32" s="1925">
        <v>0</v>
      </c>
      <c r="AA32" s="1925">
        <v>0</v>
      </c>
      <c r="AB32" s="1925">
        <v>0</v>
      </c>
      <c r="AC32" s="1489">
        <v>0</v>
      </c>
      <c r="AD32" s="1475"/>
      <c r="AE32" s="1248"/>
      <c r="AF32" s="1475"/>
      <c r="AG32" s="1489"/>
      <c r="AH32" s="1475"/>
      <c r="AI32" s="1248"/>
      <c r="AJ32" s="1475"/>
      <c r="AK32" s="1489"/>
      <c r="AL32" s="1248"/>
      <c r="AM32" s="1248"/>
      <c r="AN32" s="1248"/>
      <c r="AO32" s="1489"/>
      <c r="AP32" s="1248"/>
      <c r="AQ32" s="1073"/>
      <c r="AR32" s="1927"/>
      <c r="AS32" s="1073"/>
      <c r="AT32" s="1073"/>
      <c r="AU32" s="1073"/>
      <c r="AV32" s="1073"/>
      <c r="AW32" s="1073"/>
      <c r="AX32" s="1928"/>
      <c r="AY32" s="1475">
        <v>3001</v>
      </c>
      <c r="AZ32" s="1925">
        <v>3004</v>
      </c>
      <c r="BA32" s="1475">
        <v>-3</v>
      </c>
      <c r="BB32" s="1617">
        <v>-9.9866844207723037E-4</v>
      </c>
      <c r="BC32" s="2028"/>
      <c r="BD32" s="1793">
        <v>3001</v>
      </c>
      <c r="BE32" s="1929">
        <v>3004</v>
      </c>
      <c r="BF32" s="1929">
        <v>2701</v>
      </c>
      <c r="BG32" s="1929">
        <v>0</v>
      </c>
      <c r="BH32" s="1929">
        <v>0</v>
      </c>
      <c r="BI32" s="1929">
        <v>0</v>
      </c>
      <c r="BJ32" s="1929">
        <v>0</v>
      </c>
      <c r="BK32" s="1929">
        <v>0</v>
      </c>
      <c r="BL32" s="1702"/>
      <c r="BM32" s="1718"/>
      <c r="BN32" s="1762"/>
      <c r="BO32" s="1715"/>
      <c r="BP32" s="1627"/>
      <c r="BQ32" s="1920"/>
      <c r="BR32" s="2356"/>
      <c r="BS32" s="1587"/>
      <c r="BT32" s="1587"/>
      <c r="BU32" s="1587"/>
      <c r="BV32" s="1587"/>
    </row>
    <row r="33" spans="1:74" s="1588" customFormat="1" ht="18.75" customHeight="1" thickBot="1" x14ac:dyDescent="0.25">
      <c r="A33" s="2480" t="s">
        <v>74</v>
      </c>
      <c r="B33" s="2482"/>
      <c r="C33" s="1625">
        <v>-4214</v>
      </c>
      <c r="D33" s="1626">
        <v>-1.2278554778554778</v>
      </c>
      <c r="E33" s="1574"/>
      <c r="F33" s="1409">
        <v>0</v>
      </c>
      <c r="G33" s="1409">
        <v>0</v>
      </c>
      <c r="H33" s="1409">
        <v>0</v>
      </c>
      <c r="I33" s="2311">
        <v>-782</v>
      </c>
      <c r="J33" s="1510">
        <v>-3399</v>
      </c>
      <c r="K33" s="1510">
        <v>-25371</v>
      </c>
      <c r="L33" s="1510">
        <v>546</v>
      </c>
      <c r="M33" s="1768">
        <v>3432</v>
      </c>
      <c r="N33" s="1510">
        <v>-5499</v>
      </c>
      <c r="O33" s="1510">
        <v>-5986</v>
      </c>
      <c r="P33" s="1510">
        <v>-3003</v>
      </c>
      <c r="Q33" s="1768">
        <v>7970</v>
      </c>
      <c r="R33" s="1930">
        <v>14636</v>
      </c>
      <c r="S33" s="1930">
        <v>2906</v>
      </c>
      <c r="T33" s="1930">
        <v>3100</v>
      </c>
      <c r="U33" s="1768">
        <v>6248</v>
      </c>
      <c r="V33" s="1930">
        <v>4091</v>
      </c>
      <c r="W33" s="1510">
        <v>-1217</v>
      </c>
      <c r="X33" s="1510">
        <v>-2888</v>
      </c>
      <c r="Y33" s="1514">
        <v>-9391</v>
      </c>
      <c r="Z33" s="1510">
        <v>-7798</v>
      </c>
      <c r="AA33" s="1510">
        <v>-1746</v>
      </c>
      <c r="AB33" s="1510">
        <v>-2104</v>
      </c>
      <c r="AC33" s="1514">
        <v>2768</v>
      </c>
      <c r="AD33" s="1510">
        <v>4874</v>
      </c>
      <c r="AE33" s="1510">
        <v>5755</v>
      </c>
      <c r="AF33" s="1510">
        <v>174</v>
      </c>
      <c r="AG33" s="1514">
        <v>0</v>
      </c>
      <c r="AH33" s="1510">
        <v>-27693</v>
      </c>
      <c r="AI33" s="1510">
        <v>-37922</v>
      </c>
      <c r="AJ33" s="1510">
        <v>-19480</v>
      </c>
      <c r="AK33" s="1514">
        <v>-22187</v>
      </c>
      <c r="AL33" s="1510">
        <v>0</v>
      </c>
      <c r="AM33" s="1510">
        <v>0</v>
      </c>
      <c r="AN33" s="1510">
        <v>0</v>
      </c>
      <c r="AO33" s="1514">
        <v>0</v>
      </c>
      <c r="AP33" s="1510">
        <v>0</v>
      </c>
      <c r="AQ33" s="1931" t="s">
        <v>177</v>
      </c>
      <c r="AR33" s="1932" t="s">
        <v>177</v>
      </c>
      <c r="AS33" s="1931"/>
      <c r="AT33" s="1931"/>
      <c r="AU33" s="1931"/>
      <c r="AV33" s="1931"/>
      <c r="AW33" s="1931"/>
      <c r="AX33" s="1928"/>
      <c r="AY33" s="1510">
        <v>-24792</v>
      </c>
      <c r="AZ33" s="1510">
        <v>-6518</v>
      </c>
      <c r="BA33" s="1510">
        <v>-18274</v>
      </c>
      <c r="BB33" s="1626">
        <v>-2.8036207425590671</v>
      </c>
      <c r="BC33" s="1760"/>
      <c r="BD33" s="1518">
        <v>-24792</v>
      </c>
      <c r="BE33" s="1518">
        <v>-6518</v>
      </c>
      <c r="BF33" s="1518">
        <v>26890</v>
      </c>
      <c r="BG33" s="1518">
        <v>-9405</v>
      </c>
      <c r="BH33" s="1518">
        <v>-8880</v>
      </c>
      <c r="BI33" s="1518">
        <v>14384</v>
      </c>
      <c r="BJ33" s="1518">
        <f>BJ15-BJ30</f>
        <v>10057</v>
      </c>
      <c r="BK33" s="1518">
        <f>BK15-BK30</f>
        <v>-9759</v>
      </c>
      <c r="BL33" s="1767">
        <f>BL15-BL30</f>
        <v>-7366</v>
      </c>
      <c r="BM33" s="1768">
        <f>BM31-BM32</f>
        <v>62391</v>
      </c>
      <c r="BN33" s="1769">
        <f>BN31-BN32</f>
        <v>44985</v>
      </c>
      <c r="BO33" s="1708">
        <f>BO31-BO32</f>
        <v>28124</v>
      </c>
      <c r="BP33" s="1627"/>
      <c r="BQ33" s="1920"/>
      <c r="BR33" s="2356"/>
      <c r="BS33" s="2268"/>
      <c r="BT33" s="1587"/>
      <c r="BU33" s="1587"/>
      <c r="BV33" s="1587"/>
    </row>
    <row r="34" spans="1:74" ht="12.75" customHeight="1" thickTop="1" x14ac:dyDescent="0.2">
      <c r="A34" s="1622"/>
      <c r="B34" s="1622"/>
      <c r="C34" s="1627"/>
      <c r="D34" s="1628"/>
      <c r="E34" s="1591"/>
      <c r="F34" s="1591"/>
      <c r="G34" s="2333"/>
      <c r="H34" s="2333"/>
      <c r="I34" s="1564"/>
      <c r="J34" s="1628"/>
      <c r="K34" s="1770"/>
      <c r="L34" s="1770"/>
      <c r="M34" s="1608"/>
      <c r="N34" s="1628"/>
      <c r="O34" s="1770"/>
      <c r="P34" s="1770"/>
      <c r="Q34" s="1608"/>
      <c r="R34" s="1628"/>
      <c r="S34" s="1770"/>
      <c r="T34" s="1770"/>
      <c r="U34" s="1608"/>
      <c r="V34" s="1628"/>
      <c r="W34" s="1770"/>
      <c r="X34" s="1770"/>
      <c r="Y34" s="1608"/>
      <c r="Z34" s="1628"/>
      <c r="AA34" s="1628"/>
      <c r="AB34" s="1770"/>
      <c r="AC34" s="1608"/>
      <c r="AD34" s="1628"/>
      <c r="AE34" s="1628"/>
      <c r="AF34" s="1628"/>
      <c r="AG34" s="1608"/>
      <c r="AH34" s="1628"/>
      <c r="AI34" s="1628"/>
      <c r="AJ34" s="1628"/>
      <c r="AK34" s="1608"/>
      <c r="AL34" s="1628"/>
      <c r="AM34" s="1628"/>
      <c r="AN34" s="1628"/>
      <c r="AO34" s="1608"/>
      <c r="AP34" s="1622"/>
      <c r="AQ34" s="1622"/>
      <c r="AR34" s="1622"/>
      <c r="AS34" s="1622"/>
      <c r="AT34" s="1771"/>
      <c r="AU34" s="1771"/>
      <c r="AV34" s="1771"/>
      <c r="AW34" s="1771"/>
      <c r="AX34" s="1608"/>
      <c r="AY34" s="1608"/>
      <c r="AZ34" s="1633"/>
      <c r="BA34" s="1701"/>
      <c r="BB34" s="1628"/>
      <c r="BC34" s="1633"/>
      <c r="BD34" s="1633"/>
      <c r="BE34" s="1633"/>
      <c r="BF34" s="1633"/>
      <c r="BG34" s="1633"/>
      <c r="BH34" s="1633"/>
      <c r="BI34" s="1633"/>
      <c r="BJ34" s="1633"/>
      <c r="BK34" s="1633"/>
      <c r="BL34" s="1627"/>
      <c r="BM34" s="1627"/>
      <c r="BN34" s="1627"/>
      <c r="BO34" s="1627"/>
      <c r="BP34" s="1627"/>
      <c r="BQ34" s="1603"/>
      <c r="BS34" s="1560"/>
      <c r="BT34" s="1560"/>
      <c r="BU34" s="1560"/>
      <c r="BV34" s="1560"/>
    </row>
    <row r="35" spans="1:74" ht="12.75" customHeight="1" x14ac:dyDescent="0.2">
      <c r="A35" s="1886" t="s">
        <v>306</v>
      </c>
      <c r="B35" s="1622"/>
      <c r="C35" s="1629">
        <v>4.3110086669096548</v>
      </c>
      <c r="D35" s="1628"/>
      <c r="E35" s="1591"/>
      <c r="F35" s="946" t="e">
        <v>#DIV/0!</v>
      </c>
      <c r="G35" s="946" t="e">
        <v>#DIV/0!</v>
      </c>
      <c r="H35" s="946" t="e">
        <v>#DIV/0!</v>
      </c>
      <c r="I35" s="946">
        <v>0.48267193057598839</v>
      </c>
      <c r="J35" s="1110">
        <v>0.55973363251420505</v>
      </c>
      <c r="K35" s="1110">
        <v>0.55670463823335015</v>
      </c>
      <c r="L35" s="1110">
        <v>0.46079167560609313</v>
      </c>
      <c r="M35" s="1110">
        <v>0.43956184390689185</v>
      </c>
      <c r="N35" s="1110">
        <v>0.49825709988498629</v>
      </c>
      <c r="O35" s="1110">
        <v>0.48462971052813097</v>
      </c>
      <c r="P35" s="1110">
        <v>0.47672161757118642</v>
      </c>
      <c r="Q35" s="1110">
        <v>0.45604792727389537</v>
      </c>
      <c r="R35" s="1110">
        <v>0.4403350497383301</v>
      </c>
      <c r="S35" s="1110">
        <v>0.50796577513517993</v>
      </c>
      <c r="T35" s="1110">
        <v>0.4989318181818182</v>
      </c>
      <c r="U35" s="1110">
        <v>0.4792701584723193</v>
      </c>
      <c r="V35" s="1110">
        <v>0.5197982568685573</v>
      </c>
      <c r="W35" s="1110">
        <v>0.49724916943521597</v>
      </c>
      <c r="X35" s="1110">
        <v>0.4967826924051274</v>
      </c>
      <c r="Y35" s="1110">
        <v>0.58276972624798706</v>
      </c>
      <c r="Z35" s="1110">
        <v>0.64553470005950131</v>
      </c>
      <c r="AA35" s="1110">
        <v>0.47857184392626623</v>
      </c>
      <c r="AB35" s="1110">
        <v>0.48870151770657672</v>
      </c>
      <c r="AC35" s="1110">
        <v>0.50046132554205747</v>
      </c>
      <c r="AD35" s="1110" t="e">
        <v>#REF!</v>
      </c>
      <c r="AE35" s="1110" t="e">
        <v>#REF!</v>
      </c>
      <c r="AF35" s="1110" t="e">
        <v>#REF!</v>
      </c>
      <c r="AG35" s="1110" t="e">
        <v>#DIV/0!</v>
      </c>
      <c r="AH35" s="1110" t="e">
        <v>#DIV/0!</v>
      </c>
      <c r="AI35" s="1110" t="e">
        <v>#DIV/0!</v>
      </c>
      <c r="AJ35" s="1110" t="e">
        <v>#DIV/0!</v>
      </c>
      <c r="AK35" s="1110" t="e">
        <v>#DIV/0!</v>
      </c>
      <c r="AL35" s="1110" t="e">
        <v>#DIV/0!</v>
      </c>
      <c r="AM35" s="1110" t="e">
        <v>#DIV/0!</v>
      </c>
      <c r="AN35" s="1110" t="e">
        <v>#DIV/0!</v>
      </c>
      <c r="AO35" s="1110" t="e">
        <v>#DIV/0!</v>
      </c>
      <c r="AP35" s="1110" t="e">
        <v>#DIV/0!</v>
      </c>
      <c r="AQ35" s="1110" t="e">
        <v>#DIV/0!</v>
      </c>
      <c r="AR35" s="1110" t="e">
        <v>#DIV/0!</v>
      </c>
      <c r="AS35" s="1110" t="e">
        <v>#DIV/0!</v>
      </c>
      <c r="AT35" s="1110" t="e">
        <v>#DIV/0!</v>
      </c>
      <c r="AU35" s="1110" t="e">
        <v>#DIV/0!</v>
      </c>
      <c r="AV35" s="1110" t="e">
        <v>#DIV/0!</v>
      </c>
      <c r="AW35" s="1110" t="e">
        <v>#DIV/0!</v>
      </c>
      <c r="AX35" s="1110"/>
      <c r="AY35" s="1110">
        <v>0.50328640225195598</v>
      </c>
      <c r="AZ35" s="1110">
        <v>0.47807086691760442</v>
      </c>
      <c r="BA35" s="1629">
        <v>2.5215535334351555</v>
      </c>
      <c r="BB35" s="1628"/>
      <c r="BC35" s="1633"/>
      <c r="BD35" s="1110">
        <v>0.50328640225195598</v>
      </c>
      <c r="BE35" s="1110">
        <v>0.47807086691760442</v>
      </c>
      <c r="BF35" s="1110">
        <v>0.47684597085248398</v>
      </c>
      <c r="BG35" s="1110">
        <v>0.5210915848847445</v>
      </c>
      <c r="BH35" s="1110">
        <v>0.52683491432453511</v>
      </c>
      <c r="BI35" s="1110">
        <v>0.51290258804921907</v>
      </c>
      <c r="BJ35" s="1110">
        <f t="shared" ref="BJ35:BL36" si="2">+BJ17/BJ$14</f>
        <v>0.54532976881869122</v>
      </c>
      <c r="BK35" s="1110">
        <f t="shared" si="2"/>
        <v>0.46133379682862263</v>
      </c>
      <c r="BL35" s="1110" t="e">
        <f t="shared" si="2"/>
        <v>#REF!</v>
      </c>
      <c r="BM35" s="1627"/>
      <c r="BN35" s="1627"/>
      <c r="BO35" s="1627"/>
      <c r="BP35" s="1627"/>
      <c r="BQ35" s="1603"/>
      <c r="BS35" s="1560"/>
      <c r="BT35" s="1560"/>
      <c r="BU35" s="1560"/>
      <c r="BV35" s="1560"/>
    </row>
    <row r="36" spans="1:74" ht="12.75" customHeight="1" x14ac:dyDescent="0.2">
      <c r="A36" s="1886" t="s">
        <v>307</v>
      </c>
      <c r="B36" s="1622"/>
      <c r="C36" s="1629">
        <v>1.0975134323156284</v>
      </c>
      <c r="D36" s="1628"/>
      <c r="E36" s="1591"/>
      <c r="F36" s="946" t="e">
        <v>#DIV/0!</v>
      </c>
      <c r="G36" s="946" t="e">
        <v>#DIV/0!</v>
      </c>
      <c r="H36" s="946" t="e">
        <v>#DIV/0!</v>
      </c>
      <c r="I36" s="946">
        <v>7.0783441032421457E-2</v>
      </c>
      <c r="J36" s="1110">
        <v>5.8575513010748793E-2</v>
      </c>
      <c r="K36" s="1110">
        <v>5.3166673146456206E-2</v>
      </c>
      <c r="L36" s="1110">
        <v>4.9703211041979549E-2</v>
      </c>
      <c r="M36" s="1110">
        <v>5.9808306709265173E-2</v>
      </c>
      <c r="N36" s="1110">
        <v>5.665752455100416E-2</v>
      </c>
      <c r="O36" s="1110">
        <v>6.4447152415331208E-2</v>
      </c>
      <c r="P36" s="1110">
        <v>6.4884652236935847E-2</v>
      </c>
      <c r="Q36" s="1110">
        <v>3.3825348131253916E-2</v>
      </c>
      <c r="R36" s="1110">
        <v>1.804329830370547E-2</v>
      </c>
      <c r="S36" s="1110">
        <v>1.9743520686154675E-2</v>
      </c>
      <c r="T36" s="1110">
        <v>2.1000000000000001E-2</v>
      </c>
      <c r="U36" s="1110">
        <v>1.605500254991217E-2</v>
      </c>
      <c r="V36" s="1110">
        <v>1.7763128788213955E-2</v>
      </c>
      <c r="W36" s="1110">
        <v>5.5016611295681059E-3</v>
      </c>
      <c r="X36" s="1110">
        <v>1.2818564118153722E-2</v>
      </c>
      <c r="Y36" s="1110">
        <v>2.9790660225442835E-2</v>
      </c>
      <c r="Z36" s="1110">
        <v>6.69118840266133E-2</v>
      </c>
      <c r="AA36" s="1110">
        <v>6.7686224341454909E-2</v>
      </c>
      <c r="AB36" s="1110">
        <v>5.2951096121416526E-2</v>
      </c>
      <c r="AC36" s="1110">
        <v>4.2288174688605261E-2</v>
      </c>
      <c r="AD36" s="1110">
        <v>1.1799942263279446E-2</v>
      </c>
      <c r="AE36" s="1110">
        <v>1.1956588386780305E-2</v>
      </c>
      <c r="AF36" s="1110">
        <v>6.4283224617835977E-2</v>
      </c>
      <c r="AG36" s="1110" t="e">
        <v>#DIV/0!</v>
      </c>
      <c r="AH36" s="1110" t="e">
        <v>#DIV/0!</v>
      </c>
      <c r="AI36" s="1110" t="e">
        <v>#DIV/0!</v>
      </c>
      <c r="AJ36" s="1110" t="e">
        <v>#DIV/0!</v>
      </c>
      <c r="AK36" s="1110" t="e">
        <v>#DIV/0!</v>
      </c>
      <c r="AL36" s="1110" t="e">
        <v>#DIV/0!</v>
      </c>
      <c r="AM36" s="1110" t="e">
        <v>#DIV/0!</v>
      </c>
      <c r="AN36" s="1110" t="e">
        <v>#DIV/0!</v>
      </c>
      <c r="AO36" s="1110" t="e">
        <v>#DIV/0!</v>
      </c>
      <c r="AP36" s="1110" t="e">
        <v>#DIV/0!</v>
      </c>
      <c r="AQ36" s="1110" t="e">
        <v>#DIV/0!</v>
      </c>
      <c r="AR36" s="1110" t="e">
        <v>#DIV/0!</v>
      </c>
      <c r="AS36" s="1110" t="e">
        <v>#DIV/0!</v>
      </c>
      <c r="AT36" s="1110" t="e">
        <v>#DIV/0!</v>
      </c>
      <c r="AU36" s="1110" t="e">
        <v>#DIV/0!</v>
      </c>
      <c r="AV36" s="1110" t="e">
        <v>#DIV/0!</v>
      </c>
      <c r="AW36" s="1110" t="e">
        <v>#DIV/0!</v>
      </c>
      <c r="AX36" s="1110"/>
      <c r="AY36" s="1110">
        <v>5.5323787664837566E-2</v>
      </c>
      <c r="AZ36" s="1110">
        <v>5.297282383777073E-2</v>
      </c>
      <c r="BA36" s="1629">
        <v>0.23509638270668362</v>
      </c>
      <c r="BB36" s="1628"/>
      <c r="BC36" s="1633"/>
      <c r="BD36" s="1110">
        <v>5.5323787664837566E-2</v>
      </c>
      <c r="BE36" s="1110">
        <v>5.297282383777073E-2</v>
      </c>
      <c r="BF36" s="1110">
        <v>1.8537081091068667E-2</v>
      </c>
      <c r="BG36" s="1110">
        <v>1.5917316031430342E-2</v>
      </c>
      <c r="BH36" s="1110">
        <v>5.5896635885564754E-2</v>
      </c>
      <c r="BI36" s="1110">
        <v>2.6916088458750317E-2</v>
      </c>
      <c r="BJ36" s="1110">
        <f t="shared" si="2"/>
        <v>6.0023148859457741E-3</v>
      </c>
      <c r="BK36" s="1110">
        <f t="shared" si="2"/>
        <v>2.018878519667353E-3</v>
      </c>
      <c r="BL36" s="1773" t="e">
        <f t="shared" si="2"/>
        <v>#REF!</v>
      </c>
      <c r="BM36" s="1627"/>
      <c r="BN36" s="1627"/>
      <c r="BO36" s="1627"/>
      <c r="BP36" s="1627"/>
      <c r="BQ36" s="1603"/>
      <c r="BS36" s="1560"/>
      <c r="BT36" s="1560"/>
      <c r="BU36" s="1560"/>
      <c r="BV36" s="1560"/>
    </row>
    <row r="37" spans="1:74" ht="12.75" customHeight="1" x14ac:dyDescent="0.2">
      <c r="A37" s="1630" t="s">
        <v>76</v>
      </c>
      <c r="B37" s="1631"/>
      <c r="C37" s="1629">
        <v>5.4085220992252827</v>
      </c>
      <c r="D37" s="1628"/>
      <c r="E37" s="1591"/>
      <c r="F37" s="1592" t="e">
        <v>#DIV/0!</v>
      </c>
      <c r="G37" s="1592" t="e">
        <v>#DIV/0!</v>
      </c>
      <c r="H37" s="1592" t="e">
        <v>#DIV/0!</v>
      </c>
      <c r="I37" s="1592">
        <v>0.55345537160840985</v>
      </c>
      <c r="J37" s="1644">
        <v>0.61830914552495386</v>
      </c>
      <c r="K37" s="1644">
        <v>0.60987131137980644</v>
      </c>
      <c r="L37" s="1644">
        <v>0.51049488664807263</v>
      </c>
      <c r="M37" s="1644">
        <v>0.49937015061615703</v>
      </c>
      <c r="N37" s="1644">
        <v>0.55491462443599049</v>
      </c>
      <c r="O37" s="1644">
        <v>0.54907686294346214</v>
      </c>
      <c r="P37" s="1644">
        <v>0.54160626980812221</v>
      </c>
      <c r="Q37" s="1644">
        <v>0.4898732754051493</v>
      </c>
      <c r="R37" s="1644">
        <v>0.45837834804203553</v>
      </c>
      <c r="S37" s="1644">
        <v>0.52770929582133463</v>
      </c>
      <c r="T37" s="1644">
        <v>0.51993181818181822</v>
      </c>
      <c r="U37" s="1644">
        <v>0.49532516102223145</v>
      </c>
      <c r="V37" s="1644">
        <v>0.53756138565677125</v>
      </c>
      <c r="W37" s="1644">
        <v>0.50275083056478409</v>
      </c>
      <c r="X37" s="1644">
        <v>0.50960125652328114</v>
      </c>
      <c r="Y37" s="1644">
        <v>0.61256038647342992</v>
      </c>
      <c r="Z37" s="1644">
        <v>0.71244658408611461</v>
      </c>
      <c r="AA37" s="1644">
        <v>0.54625806826772116</v>
      </c>
      <c r="AB37" s="1644">
        <v>0.54165261382799323</v>
      </c>
      <c r="AC37" s="1644">
        <v>0.54274950023066282</v>
      </c>
      <c r="AD37" s="1644">
        <v>0.52886836027713624</v>
      </c>
      <c r="AE37" s="1644">
        <v>0.54172542767796927</v>
      </c>
      <c r="AF37" s="1644">
        <v>0.55086391475377183</v>
      </c>
      <c r="AG37" s="1644" t="e">
        <v>#DIV/0!</v>
      </c>
      <c r="AH37" s="1644">
        <v>0.51723611026220895</v>
      </c>
      <c r="AI37" s="1644">
        <v>0.53841046875272991</v>
      </c>
      <c r="AJ37" s="1644">
        <v>0.56449056603773584</v>
      </c>
      <c r="AK37" s="1644">
        <v>0.57280228921275034</v>
      </c>
      <c r="AL37" s="1644" t="e">
        <v>#DIV/0!</v>
      </c>
      <c r="AM37" s="1644" t="e">
        <v>#DIV/0!</v>
      </c>
      <c r="AN37" s="1644" t="e">
        <v>#DIV/0!</v>
      </c>
      <c r="AO37" s="1644" t="e">
        <v>#DIV/0!</v>
      </c>
      <c r="AP37" s="1644" t="e">
        <v>#DIV/0!</v>
      </c>
      <c r="AQ37" s="1773">
        <v>0.52900000000000003</v>
      </c>
      <c r="AR37" s="1773">
        <v>0.47399999999999998</v>
      </c>
      <c r="AS37" s="1773">
        <v>0.49199999999999999</v>
      </c>
      <c r="AT37" s="1773">
        <v>0.54400000000000004</v>
      </c>
      <c r="AU37" s="1773">
        <v>0.50800000000000001</v>
      </c>
      <c r="AV37" s="1773">
        <v>0.48699999999999999</v>
      </c>
      <c r="AW37" s="1773">
        <v>0.52700000000000002</v>
      </c>
      <c r="AX37" s="1608"/>
      <c r="AY37" s="1644">
        <v>0.55861018991679356</v>
      </c>
      <c r="AZ37" s="1772">
        <v>0.53104369075537516</v>
      </c>
      <c r="BA37" s="1629">
        <v>2.7566499161418401</v>
      </c>
      <c r="BB37" s="1628"/>
      <c r="BC37" s="1633"/>
      <c r="BD37" s="1644">
        <v>0.55861018991679356</v>
      </c>
      <c r="BE37" s="1772">
        <v>0.53104369075537516</v>
      </c>
      <c r="BF37" s="1772">
        <v>0.49538305194355264</v>
      </c>
      <c r="BG37" s="1772">
        <v>0.53700890091617492</v>
      </c>
      <c r="BH37" s="1772">
        <v>0.58273155021009992</v>
      </c>
      <c r="BI37" s="1772">
        <v>0.53981867650796933</v>
      </c>
      <c r="BJ37" s="1772">
        <f t="shared" ref="BJ37:BO37" si="3">BJ19/BJ15</f>
        <v>0.55133208370463693</v>
      </c>
      <c r="BK37" s="1773">
        <f t="shared" si="3"/>
        <v>0.46335267534828994</v>
      </c>
      <c r="BL37" s="1773">
        <f t="shared" si="3"/>
        <v>0.5192977045424505</v>
      </c>
      <c r="BM37" s="1773">
        <f t="shared" si="3"/>
        <v>0.52591676352352823</v>
      </c>
      <c r="BN37" s="1774">
        <f t="shared" si="3"/>
        <v>0.54668040140891871</v>
      </c>
      <c r="BO37" s="1774">
        <f t="shared" si="3"/>
        <v>0.49978547284923452</v>
      </c>
      <c r="BP37" s="1774">
        <v>0.56799999999999995</v>
      </c>
      <c r="BQ37" s="1603"/>
      <c r="BS37" s="1560"/>
      <c r="BT37" s="1560"/>
      <c r="BU37" s="1560"/>
      <c r="BV37" s="1560"/>
    </row>
    <row r="38" spans="1:74" ht="12.75" customHeight="1" x14ac:dyDescent="0.2">
      <c r="A38" s="1246" t="s">
        <v>207</v>
      </c>
      <c r="B38" s="1631"/>
      <c r="C38" s="1629">
        <v>6.7615350636497933</v>
      </c>
      <c r="D38" s="1628"/>
      <c r="E38" s="1591"/>
      <c r="F38" s="1592" t="e">
        <v>#DIV/0!</v>
      </c>
      <c r="G38" s="1592" t="e">
        <v>#DIV/0!</v>
      </c>
      <c r="H38" s="1592" t="e">
        <v>#DIV/0!</v>
      </c>
      <c r="I38" s="1592">
        <v>0.60932233374923184</v>
      </c>
      <c r="J38" s="1644">
        <v>0.67871231587709457</v>
      </c>
      <c r="K38" s="1644">
        <v>0.67166906418879513</v>
      </c>
      <c r="L38" s="1644">
        <v>0.56114567689337047</v>
      </c>
      <c r="M38" s="1644">
        <v>0.54170698311273391</v>
      </c>
      <c r="N38" s="1644">
        <v>0.60334424489073701</v>
      </c>
      <c r="O38" s="1644">
        <v>0.60706320557331062</v>
      </c>
      <c r="P38" s="1644">
        <v>0.59806402476475939</v>
      </c>
      <c r="Q38" s="1644">
        <v>0.52888646183003807</v>
      </c>
      <c r="R38" s="1644">
        <v>0.49248663589297492</v>
      </c>
      <c r="S38" s="1644">
        <v>0.5783629244442603</v>
      </c>
      <c r="T38" s="1644">
        <v>0.57920454545454547</v>
      </c>
      <c r="U38" s="1644">
        <v>0.54158245660427251</v>
      </c>
      <c r="V38" s="1644">
        <v>0.60527363624297659</v>
      </c>
      <c r="W38" s="1644">
        <v>0.55837873754152823</v>
      </c>
      <c r="X38" s="1644">
        <v>0.56903278107108479</v>
      </c>
      <c r="Y38" s="1644">
        <v>0.69513687600644125</v>
      </c>
      <c r="Z38" s="1644">
        <v>0.78292854438253912</v>
      </c>
      <c r="AA38" s="1644">
        <v>0.60719893004593828</v>
      </c>
      <c r="AB38" s="1644">
        <v>0.60505902192242833</v>
      </c>
      <c r="AC38" s="1644">
        <v>0.58476856835306779</v>
      </c>
      <c r="AD38" s="1644">
        <v>0.57105225173210161</v>
      </c>
      <c r="AE38" s="1644">
        <v>0.58004782635354712</v>
      </c>
      <c r="AF38" s="1644">
        <v>0.61634217995319429</v>
      </c>
      <c r="AG38" s="1644" t="e">
        <v>#DIV/0!</v>
      </c>
      <c r="AH38" s="1644">
        <v>0.53972862294480772</v>
      </c>
      <c r="AI38" s="1644">
        <v>0.55773363383825147</v>
      </c>
      <c r="AJ38" s="1644">
        <v>0.58128301886792455</v>
      </c>
      <c r="AK38" s="1644">
        <v>0.58840753310707394</v>
      </c>
      <c r="AL38" s="1644" t="e">
        <v>#DIV/0!</v>
      </c>
      <c r="AM38" s="1644" t="e">
        <v>#DIV/0!</v>
      </c>
      <c r="AN38" s="1644" t="e">
        <v>#DIV/0!</v>
      </c>
      <c r="AO38" s="1644" t="e">
        <v>#DIV/0!</v>
      </c>
      <c r="AP38" s="1644" t="e">
        <v>#DIV/0!</v>
      </c>
      <c r="AQ38" s="1773">
        <v>0.55900000000000005</v>
      </c>
      <c r="AR38" s="1773">
        <v>0.51</v>
      </c>
      <c r="AS38" s="1773">
        <v>0.51700000000000002</v>
      </c>
      <c r="AT38" s="1773">
        <v>0.56399999999999995</v>
      </c>
      <c r="AU38" s="1773">
        <v>0.53900000000000003</v>
      </c>
      <c r="AV38" s="1773">
        <v>0.51100000000000001</v>
      </c>
      <c r="AW38" s="1773">
        <v>0.55300000000000005</v>
      </c>
      <c r="AX38" s="1608"/>
      <c r="AY38" s="1644">
        <v>0.61228272718491705</v>
      </c>
      <c r="AZ38" s="1772">
        <v>0.58024259503773923</v>
      </c>
      <c r="BA38" s="1629">
        <v>3.2040132147177824</v>
      </c>
      <c r="BB38" s="1628"/>
      <c r="BC38" s="1633"/>
      <c r="BD38" s="1644">
        <v>0.61228272718491705</v>
      </c>
      <c r="BE38" s="1772">
        <v>0.58024259503773923</v>
      </c>
      <c r="BF38" s="1772">
        <v>0.54126613853153793</v>
      </c>
      <c r="BG38" s="1772">
        <v>0.60263441035505849</v>
      </c>
      <c r="BH38" s="1772">
        <v>0.64025111340361829</v>
      </c>
      <c r="BI38" s="1772">
        <v>0.58614748773759873</v>
      </c>
      <c r="BJ38" s="1772">
        <f t="shared" ref="BJ38:BO38" si="4">(BJ19+BJ20)/BJ15</f>
        <v>0.59586803101537456</v>
      </c>
      <c r="BK38" s="1773">
        <f t="shared" si="4"/>
        <v>0.53236890659678582</v>
      </c>
      <c r="BL38" s="1773">
        <f t="shared" si="4"/>
        <v>0.56867647706745383</v>
      </c>
      <c r="BM38" s="1773">
        <f t="shared" si="4"/>
        <v>0.53576417397980403</v>
      </c>
      <c r="BN38" s="1774">
        <f t="shared" si="4"/>
        <v>0.56272346647172189</v>
      </c>
      <c r="BO38" s="1774">
        <f t="shared" si="4"/>
        <v>0.56988875982377385</v>
      </c>
      <c r="BP38" s="1774">
        <v>0.627</v>
      </c>
      <c r="BQ38" s="1603"/>
      <c r="BS38" s="1560"/>
      <c r="BT38" s="1560"/>
      <c r="BU38" s="1560"/>
      <c r="BV38" s="1560"/>
    </row>
    <row r="39" spans="1:74" ht="12.75" customHeight="1" x14ac:dyDescent="0.2">
      <c r="A39" s="1630" t="s">
        <v>77</v>
      </c>
      <c r="B39" s="1631"/>
      <c r="C39" s="1629">
        <v>0.93840323620746346</v>
      </c>
      <c r="D39" s="1628"/>
      <c r="E39" s="1591"/>
      <c r="F39" s="1592" t="e">
        <v>#DIV/0!</v>
      </c>
      <c r="G39" s="1592" t="e">
        <v>#DIV/0!</v>
      </c>
      <c r="H39" s="1592" t="e">
        <v>#DIV/0!</v>
      </c>
      <c r="I39" s="1592">
        <v>0.39127358051360361</v>
      </c>
      <c r="J39" s="1644">
        <v>0.36922297419564981</v>
      </c>
      <c r="K39" s="1644">
        <v>0.8069476303409665</v>
      </c>
      <c r="L39" s="1644">
        <v>0.41571908746334835</v>
      </c>
      <c r="M39" s="1644">
        <v>0.38188954815152898</v>
      </c>
      <c r="N39" s="1644">
        <v>0.48065115456073609</v>
      </c>
      <c r="O39" s="1644">
        <v>0.51327799875842095</v>
      </c>
      <c r="P39" s="1644">
        <v>0.45723902415055401</v>
      </c>
      <c r="Q39" s="1644">
        <v>0.33109008849841792</v>
      </c>
      <c r="R39" s="1644">
        <v>0.29165322071471667</v>
      </c>
      <c r="S39" s="1644">
        <v>0.34742795583086455</v>
      </c>
      <c r="T39" s="1644">
        <v>0.33327272727272728</v>
      </c>
      <c r="U39" s="1644">
        <v>0.33048750543036853</v>
      </c>
      <c r="V39" s="1644">
        <v>0.30422952705393091</v>
      </c>
      <c r="W39" s="1644">
        <v>0.47396677740863785</v>
      </c>
      <c r="X39" s="1644">
        <v>0.50412930029893099</v>
      </c>
      <c r="Y39" s="1644">
        <v>0.60731078904991953</v>
      </c>
      <c r="Z39" s="1644">
        <v>0.63888137610212581</v>
      </c>
      <c r="AA39" s="1644">
        <v>0.4943304064662441</v>
      </c>
      <c r="AB39" s="1644">
        <v>0.5132096683530073</v>
      </c>
      <c r="AC39" s="1644">
        <v>0.30881900661233275</v>
      </c>
      <c r="AD39" s="1644">
        <v>0.25306726327944573</v>
      </c>
      <c r="AE39" s="1644">
        <v>0.24351585014409222</v>
      </c>
      <c r="AF39" s="1644">
        <v>0.37499377583030424</v>
      </c>
      <c r="AG39" s="1644" t="e">
        <v>#DIV/0!</v>
      </c>
      <c r="AH39" s="1644" t="e">
        <v>#DIV/0!</v>
      </c>
      <c r="AI39" s="1644" t="e">
        <v>#DIV/0!</v>
      </c>
      <c r="AJ39" s="1644" t="e">
        <v>#DIV/0!</v>
      </c>
      <c r="AK39" s="1644" t="e">
        <v>#DIV/0!</v>
      </c>
      <c r="AL39" s="1644" t="e">
        <v>#DIV/0!</v>
      </c>
      <c r="AM39" s="1644" t="e">
        <v>#DIV/0!</v>
      </c>
      <c r="AN39" s="1644" t="e">
        <v>#DIV/0!</v>
      </c>
      <c r="AO39" s="1644" t="e">
        <v>#DIV/0!</v>
      </c>
      <c r="AP39" s="1644" t="e">
        <v>#DIV/0!</v>
      </c>
      <c r="AQ39" s="1644" t="e">
        <v>#DIV/0!</v>
      </c>
      <c r="AR39" s="1644" t="e">
        <v>#DIV/0!</v>
      </c>
      <c r="AS39" s="1644" t="e">
        <v>#DIV/0!</v>
      </c>
      <c r="AT39" s="1644" t="e">
        <v>#DIV/0!</v>
      </c>
      <c r="AU39" s="1644" t="e">
        <v>#DIV/0!</v>
      </c>
      <c r="AV39" s="1644" t="e">
        <v>#DIV/0!</v>
      </c>
      <c r="AW39" s="1644" t="e">
        <v>#DIV/0!</v>
      </c>
      <c r="AX39" s="1644"/>
      <c r="AY39" s="1644">
        <v>0.48794679202064295</v>
      </c>
      <c r="AZ39" s="1772">
        <v>0.43707013775299058</v>
      </c>
      <c r="BA39" s="1629">
        <v>5.0876654267652368</v>
      </c>
      <c r="BB39" s="1628"/>
      <c r="BC39" s="1633"/>
      <c r="BD39" s="1644">
        <v>0.48794679202064295</v>
      </c>
      <c r="BE39" s="1772">
        <v>0.43707013775299058</v>
      </c>
      <c r="BF39" s="1772">
        <v>0.32204540730304643</v>
      </c>
      <c r="BG39" s="1772">
        <v>0.45869388021257868</v>
      </c>
      <c r="BH39" s="1772">
        <v>0.47146667337644366</v>
      </c>
      <c r="BI39" s="1772">
        <v>0.2784341784426515</v>
      </c>
      <c r="BJ39" s="1772">
        <f>(BJ30-BJ19-BJ20)/BJ15</f>
        <v>0.30111954439766875</v>
      </c>
      <c r="BK39" s="1772">
        <f>(BK30-BK19-BK20)/BK15</f>
        <v>0.59810947402198034</v>
      </c>
      <c r="BL39" s="1772">
        <f>(BL30-BL19-BL20)/BL15</f>
        <v>0.51245759351456144</v>
      </c>
      <c r="BM39" s="1773" t="e">
        <f>(BM21+BM22+BM23+BM24+BM25+BM26+BM27+#REF!+BM28+#REF!+#REF!+BM29)/BM15</f>
        <v>#REF!</v>
      </c>
      <c r="BN39" s="1774" t="e">
        <f>(BN21+BN22+BN23+BN24+BN25+BN26+BN27+#REF!+BN28+#REF!+#REF!+BN29)/BN15</f>
        <v>#REF!</v>
      </c>
      <c r="BO39" s="1774" t="e">
        <f>(BO21+BO22+BO23+BO24+BO25+BO26+BO27+#REF!+BO28+#REF!+#REF!+BO29)/BO15</f>
        <v>#REF!</v>
      </c>
      <c r="BP39" s="1774">
        <v>0.10299999999999998</v>
      </c>
      <c r="BQ39" s="1603"/>
      <c r="BS39" s="1560"/>
      <c r="BT39" s="1560"/>
      <c r="BU39" s="1560"/>
      <c r="BV39" s="1560"/>
    </row>
    <row r="40" spans="1:74" ht="12.75" customHeight="1" x14ac:dyDescent="0.2">
      <c r="A40" s="1630" t="s">
        <v>78</v>
      </c>
      <c r="B40" s="1630"/>
      <c r="C40" s="1629">
        <v>7.6999382998572452</v>
      </c>
      <c r="D40" s="1628"/>
      <c r="E40" s="1591"/>
      <c r="F40" s="1592" t="e">
        <v>#DIV/0!</v>
      </c>
      <c r="G40" s="1592" t="e">
        <v>#DIV/0!</v>
      </c>
      <c r="H40" s="1592" t="e">
        <v>#DIV/0!</v>
      </c>
      <c r="I40" s="1592">
        <v>1.0005959142628353</v>
      </c>
      <c r="J40" s="1644">
        <v>1.0479352900727443</v>
      </c>
      <c r="K40" s="1644">
        <v>1.4786166945297616</v>
      </c>
      <c r="L40" s="1644">
        <v>0.97686476435671887</v>
      </c>
      <c r="M40" s="1644">
        <v>0.92359653126426289</v>
      </c>
      <c r="N40" s="1644">
        <v>1.0839953994514731</v>
      </c>
      <c r="O40" s="1644">
        <v>1.1203412043317316</v>
      </c>
      <c r="P40" s="1644">
        <v>1.0553030489153135</v>
      </c>
      <c r="Q40" s="1644">
        <v>0.85997655032845599</v>
      </c>
      <c r="R40" s="1644">
        <v>0.78413985660769159</v>
      </c>
      <c r="S40" s="1644">
        <v>0.92579088027512479</v>
      </c>
      <c r="T40" s="1644">
        <v>0.91247727272727275</v>
      </c>
      <c r="U40" s="1644">
        <v>0.87206996203464104</v>
      </c>
      <c r="V40" s="1644">
        <v>0.9095031632969075</v>
      </c>
      <c r="W40" s="1644">
        <v>1.0323455149501661</v>
      </c>
      <c r="X40" s="1644">
        <v>1.0731620813700158</v>
      </c>
      <c r="Y40" s="1644">
        <v>1.3024476650563608</v>
      </c>
      <c r="Z40" s="1644">
        <v>1.4218099204846648</v>
      </c>
      <c r="AA40" s="1644">
        <v>1.1015293365121823</v>
      </c>
      <c r="AB40" s="1644">
        <v>1.1182686902754357</v>
      </c>
      <c r="AC40" s="1644">
        <v>0.89358757496540053</v>
      </c>
      <c r="AD40" s="1644">
        <v>0.82411951501154734</v>
      </c>
      <c r="AE40" s="1644">
        <v>0.82356367649763929</v>
      </c>
      <c r="AF40" s="1644">
        <v>0.99133595578349853</v>
      </c>
      <c r="AG40" s="1644" t="e">
        <v>#DIV/0!</v>
      </c>
      <c r="AH40" s="1644">
        <v>0.84631135016197057</v>
      </c>
      <c r="AI40" s="1644">
        <v>0.66254345965022621</v>
      </c>
      <c r="AJ40" s="1644">
        <v>0.73509433962264148</v>
      </c>
      <c r="AK40" s="1644">
        <v>0.73823783855726355</v>
      </c>
      <c r="AL40" s="1644" t="e">
        <v>#DIV/0!</v>
      </c>
      <c r="AM40" s="1644" t="e">
        <v>#DIV/0!</v>
      </c>
      <c r="AN40" s="1644" t="e">
        <v>#DIV/0!</v>
      </c>
      <c r="AO40" s="1644" t="e">
        <v>#DIV/0!</v>
      </c>
      <c r="AP40" s="1644" t="e">
        <v>#DIV/0!</v>
      </c>
      <c r="AQ40" s="1773">
        <v>0.79800000000000004</v>
      </c>
      <c r="AR40" s="1773">
        <v>0.83199999999999996</v>
      </c>
      <c r="AS40" s="1773">
        <v>0.68600000000000005</v>
      </c>
      <c r="AT40" s="1773">
        <v>0.77500000000000002</v>
      </c>
      <c r="AU40" s="1773">
        <v>0.74299999999999999</v>
      </c>
      <c r="AV40" s="1773">
        <v>0.76</v>
      </c>
      <c r="AW40" s="1773">
        <v>0.73199999999999998</v>
      </c>
      <c r="AX40" s="1608"/>
      <c r="AY40" s="1644">
        <v>1.10022951920556</v>
      </c>
      <c r="AZ40" s="1772">
        <v>1.0173127327907296</v>
      </c>
      <c r="BA40" s="1629">
        <v>8.2916786414830348</v>
      </c>
      <c r="BB40" s="1628"/>
      <c r="BC40" s="1633"/>
      <c r="BD40" s="1644">
        <v>1.10022951920556</v>
      </c>
      <c r="BE40" s="1772">
        <v>1.0173127327907296</v>
      </c>
      <c r="BF40" s="1772">
        <v>0.86331154583458436</v>
      </c>
      <c r="BG40" s="1772">
        <v>1.0613282905676371</v>
      </c>
      <c r="BH40" s="1772">
        <v>1.1117177867800618</v>
      </c>
      <c r="BI40" s="1772">
        <v>0.86458166618025023</v>
      </c>
      <c r="BJ40" s="1772">
        <f t="shared" ref="BJ40:BO40" si="5">BJ30/BJ15</f>
        <v>0.8969875754130433</v>
      </c>
      <c r="BK40" s="1773">
        <f t="shared" si="5"/>
        <v>1.1304783806187662</v>
      </c>
      <c r="BL40" s="1773">
        <f t="shared" si="5"/>
        <v>1.0811340705820152</v>
      </c>
      <c r="BM40" s="1773">
        <f t="shared" si="5"/>
        <v>0.66735799362344184</v>
      </c>
      <c r="BN40" s="1774">
        <f t="shared" si="5"/>
        <v>0.70103675151192923</v>
      </c>
      <c r="BO40" s="1774">
        <f t="shared" si="5"/>
        <v>0.70568967862786336</v>
      </c>
      <c r="BP40" s="1774">
        <v>0.73</v>
      </c>
      <c r="BQ40" s="1603"/>
      <c r="BS40" s="1560"/>
      <c r="BT40" s="1560"/>
      <c r="BU40" s="1560"/>
      <c r="BV40" s="1560"/>
    </row>
    <row r="41" spans="1:74" ht="12.75" customHeight="1" x14ac:dyDescent="0.2">
      <c r="A41" s="1630" t="s">
        <v>79</v>
      </c>
      <c r="B41" s="1630"/>
      <c r="C41" s="1629">
        <v>-7.7218976112509221</v>
      </c>
      <c r="D41" s="1628"/>
      <c r="E41" s="1591"/>
      <c r="F41" s="1592" t="e">
        <v>#DIV/0!</v>
      </c>
      <c r="G41" s="1592" t="e">
        <v>#DIV/0!</v>
      </c>
      <c r="H41" s="1592" t="e">
        <v>#DIV/0!</v>
      </c>
      <c r="I41" s="1592">
        <v>-1.4562654798040931E-2</v>
      </c>
      <c r="J41" s="1644">
        <v>-6.1507003003872462E-2</v>
      </c>
      <c r="K41" s="1644">
        <v>-0.49319622098674237</v>
      </c>
      <c r="L41" s="1644">
        <v>9.7618536794679255E-3</v>
      </c>
      <c r="M41" s="1644">
        <v>6.2656321314468286E-2</v>
      </c>
      <c r="N41" s="1644">
        <v>-9.7301601344775723E-2</v>
      </c>
      <c r="O41" s="1644">
        <v>-0.13763134297473156</v>
      </c>
      <c r="P41" s="1644">
        <v>-7.377834557649314E-2</v>
      </c>
      <c r="Q41" s="1644">
        <v>0.12800950835996852</v>
      </c>
      <c r="R41" s="1644">
        <v>0.20535125503346288</v>
      </c>
      <c r="S41" s="1644">
        <v>6.0204271892933356E-2</v>
      </c>
      <c r="T41" s="1644">
        <v>7.045454545454545E-2</v>
      </c>
      <c r="U41" s="1644">
        <v>0.11801371286100146</v>
      </c>
      <c r="V41" s="1644">
        <v>9.0496836703092512E-2</v>
      </c>
      <c r="W41" s="1644">
        <v>-3.2345514950166111E-2</v>
      </c>
      <c r="X41" s="1644">
        <v>-7.3162081370015702E-2</v>
      </c>
      <c r="Y41" s="1644">
        <v>-0.30244766505636073</v>
      </c>
      <c r="Z41" s="1644">
        <v>-0.42180992048466492</v>
      </c>
      <c r="AA41" s="1644">
        <v>-0.10152933651218236</v>
      </c>
      <c r="AB41" s="1644">
        <v>-0.11826869027543564</v>
      </c>
      <c r="AC41" s="1644">
        <v>0.10641242503459941</v>
      </c>
      <c r="AD41" s="1644">
        <v>0.17588048498845266</v>
      </c>
      <c r="AE41" s="1644">
        <v>0.17643632350236066</v>
      </c>
      <c r="AF41" s="1644">
        <v>8.6640442165015191E-3</v>
      </c>
      <c r="AG41" s="1644" t="e">
        <v>#DIV/0!</v>
      </c>
      <c r="AH41" s="1644">
        <v>9.9993887904162332E-2</v>
      </c>
      <c r="AI41" s="1644">
        <v>0.31154672676765027</v>
      </c>
      <c r="AJ41" s="1644">
        <v>0.2130566037735849</v>
      </c>
      <c r="AK41" s="1644">
        <v>0.21321621082052306</v>
      </c>
      <c r="AL41" s="1644" t="e">
        <v>#DIV/0!</v>
      </c>
      <c r="AM41" s="1644" t="e">
        <v>#DIV/0!</v>
      </c>
      <c r="AN41" s="1644" t="e">
        <v>#DIV/0!</v>
      </c>
      <c r="AO41" s="1644" t="e">
        <v>#DIV/0!</v>
      </c>
      <c r="AP41" s="1644" t="e">
        <v>#DIV/0!</v>
      </c>
      <c r="AQ41" s="1775" t="s">
        <v>177</v>
      </c>
      <c r="AR41" s="1775" t="s">
        <v>177</v>
      </c>
      <c r="AS41" s="1628"/>
      <c r="AT41" s="1628"/>
      <c r="AU41" s="1628"/>
      <c r="AV41" s="1628"/>
      <c r="AW41" s="1628"/>
      <c r="AX41" s="1776"/>
      <c r="AY41" s="1644">
        <v>-0.11403286862210284</v>
      </c>
      <c r="AZ41" s="1772">
        <v>-3.2112803736475966E-2</v>
      </c>
      <c r="BA41" s="1629">
        <v>-8.1920064885626864</v>
      </c>
      <c r="BB41" s="1628"/>
      <c r="BC41" s="1777"/>
      <c r="BD41" s="1644">
        <v>-0.11403286862210284</v>
      </c>
      <c r="BE41" s="1772">
        <v>-3.2112803736475966E-2</v>
      </c>
      <c r="BF41" s="1772">
        <v>0.12421183915744739</v>
      </c>
      <c r="BG41" s="1772">
        <v>-6.1328290567637181E-2</v>
      </c>
      <c r="BH41" s="1772">
        <v>-0.1117177867800619</v>
      </c>
      <c r="BI41" s="1772">
        <v>0.13541833381974977</v>
      </c>
      <c r="BJ41" s="1772">
        <f t="shared" ref="BJ41:BO41" si="6">BJ33/BJ15</f>
        <v>0.10301242458695674</v>
      </c>
      <c r="BK41" s="1773">
        <f t="shared" si="6"/>
        <v>-0.13047838061876621</v>
      </c>
      <c r="BL41" s="1773">
        <f t="shared" si="6"/>
        <v>-8.1134070582015244E-2</v>
      </c>
      <c r="BM41" s="1773">
        <f t="shared" si="6"/>
        <v>0.33264200637655816</v>
      </c>
      <c r="BN41" s="1774">
        <f t="shared" si="6"/>
        <v>0.29896324848807071</v>
      </c>
      <c r="BO41" s="1774">
        <f t="shared" si="6"/>
        <v>0.29431032137213659</v>
      </c>
      <c r="BP41" s="1774"/>
      <c r="BQ41" s="1603"/>
      <c r="BS41" s="1560"/>
      <c r="BT41" s="1560"/>
      <c r="BU41" s="1560"/>
      <c r="BV41" s="1560"/>
    </row>
    <row r="42" spans="1:74" ht="12.75" customHeight="1" x14ac:dyDescent="0.2">
      <c r="A42" s="1631"/>
      <c r="B42" s="1631"/>
      <c r="C42" s="1629"/>
      <c r="D42" s="1628"/>
      <c r="E42" s="1591"/>
      <c r="F42" s="1591"/>
      <c r="G42" s="1591"/>
      <c r="H42" s="1591"/>
      <c r="I42" s="1591"/>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1628"/>
      <c r="AJ42" s="1628"/>
      <c r="AK42" s="1628"/>
      <c r="AL42" s="1628"/>
      <c r="AM42" s="1628"/>
      <c r="AN42" s="1628"/>
      <c r="AO42" s="1644"/>
      <c r="AP42" s="1644"/>
      <c r="AQ42" s="1622"/>
      <c r="AR42" s="1622"/>
      <c r="AS42" s="1622"/>
      <c r="AT42" s="1644"/>
      <c r="AU42" s="1644"/>
      <c r="AV42" s="1644"/>
      <c r="AW42" s="1644"/>
      <c r="AX42" s="1608"/>
      <c r="AY42" s="1608"/>
      <c r="AZ42" s="1633"/>
      <c r="BA42" s="1701"/>
      <c r="BB42" s="1628"/>
      <c r="BC42" s="1633"/>
      <c r="BD42" s="1608"/>
      <c r="BE42" s="1773"/>
      <c r="BF42" s="1773"/>
      <c r="BG42" s="1773"/>
      <c r="BH42" s="1773"/>
      <c r="BI42" s="1773"/>
      <c r="BJ42" s="1773"/>
      <c r="BK42" s="1773"/>
      <c r="BL42" s="1773"/>
      <c r="BM42" s="1644"/>
      <c r="BN42" s="1778"/>
      <c r="BO42" s="1778"/>
      <c r="BP42" s="1778"/>
      <c r="BQ42" s="1603"/>
      <c r="BS42" s="1560"/>
      <c r="BT42" s="1560"/>
      <c r="BU42" s="1560"/>
      <c r="BV42" s="1560"/>
    </row>
    <row r="43" spans="1:74" ht="12.75" customHeight="1" x14ac:dyDescent="0.2">
      <c r="A43" s="1608"/>
      <c r="B43" s="1608"/>
      <c r="C43" s="1633"/>
      <c r="D43" s="1633"/>
      <c r="E43" s="1573"/>
      <c r="F43" s="1573"/>
      <c r="G43" s="1564"/>
      <c r="H43" s="1564"/>
      <c r="I43" s="1564"/>
      <c r="J43" s="1633"/>
      <c r="K43" s="1608"/>
      <c r="L43" s="1608"/>
      <c r="M43" s="1608"/>
      <c r="N43" s="1608"/>
      <c r="O43" s="1608"/>
      <c r="P43" s="1608"/>
      <c r="Q43" s="1608"/>
      <c r="R43" s="1608"/>
      <c r="S43" s="1608"/>
      <c r="T43" s="1608"/>
      <c r="U43" s="1608"/>
      <c r="V43" s="1608"/>
      <c r="W43" s="1608"/>
      <c r="X43" s="1608"/>
      <c r="Y43" s="1608"/>
      <c r="Z43" s="1608"/>
      <c r="AA43" s="1608"/>
      <c r="AB43" s="1608"/>
      <c r="AC43" s="1608"/>
      <c r="AD43" s="1608"/>
      <c r="AE43" s="1608"/>
      <c r="AF43" s="1608"/>
      <c r="AG43" s="1608"/>
      <c r="AH43" s="1608"/>
      <c r="AI43" s="1608"/>
      <c r="AJ43" s="1608"/>
      <c r="AK43" s="1608"/>
      <c r="AL43" s="1608"/>
      <c r="AM43" s="1608"/>
      <c r="AN43" s="1608"/>
      <c r="AO43" s="1608"/>
      <c r="AP43" s="1608"/>
      <c r="AQ43" s="1608"/>
      <c r="AR43" s="1608"/>
      <c r="AS43" s="1608"/>
      <c r="AT43" s="1608"/>
      <c r="AU43" s="1608"/>
      <c r="AV43" s="1608"/>
      <c r="AW43" s="1608"/>
      <c r="AX43" s="1608"/>
      <c r="AY43" s="1608"/>
      <c r="AZ43" s="1633"/>
      <c r="BA43" s="1688"/>
      <c r="BB43" s="1688"/>
      <c r="BC43" s="1633"/>
      <c r="BD43" s="1608"/>
      <c r="BE43" s="1633"/>
      <c r="BF43" s="1633"/>
      <c r="BG43" s="1633"/>
      <c r="BH43" s="1633"/>
      <c r="BI43" s="1633"/>
      <c r="BJ43" s="1633"/>
      <c r="BK43" s="1633"/>
      <c r="BL43" s="1633"/>
      <c r="BM43" s="1633"/>
      <c r="BN43" s="1779"/>
      <c r="BO43" s="1779"/>
      <c r="BP43" s="1779"/>
      <c r="BQ43" s="1603"/>
      <c r="BS43" s="1560"/>
      <c r="BT43" s="1560"/>
      <c r="BU43" s="1560"/>
      <c r="BV43" s="1560"/>
    </row>
    <row r="44" spans="1:74" ht="12.75" customHeight="1" x14ac:dyDescent="0.2">
      <c r="A44" s="1631" t="s">
        <v>88</v>
      </c>
      <c r="B44" s="1631"/>
      <c r="C44" s="1248">
        <v>18</v>
      </c>
      <c r="D44" s="1628">
        <v>6.3157894736842107E-2</v>
      </c>
      <c r="E44" s="1591"/>
      <c r="F44" s="1195">
        <v>0</v>
      </c>
      <c r="G44" s="1195">
        <v>0</v>
      </c>
      <c r="H44" s="1195">
        <v>0</v>
      </c>
      <c r="I44" s="1195">
        <v>303</v>
      </c>
      <c r="J44" s="1248">
        <v>291</v>
      </c>
      <c r="K44" s="1248">
        <v>280</v>
      </c>
      <c r="L44" s="1248">
        <v>285</v>
      </c>
      <c r="M44" s="1248">
        <v>285</v>
      </c>
      <c r="N44" s="1248">
        <v>269</v>
      </c>
      <c r="O44" s="1248">
        <v>294</v>
      </c>
      <c r="P44" s="1248">
        <v>295</v>
      </c>
      <c r="Q44" s="1248">
        <v>291</v>
      </c>
      <c r="R44" s="1248">
        <v>286</v>
      </c>
      <c r="S44" s="1248">
        <v>279</v>
      </c>
      <c r="T44" s="1248">
        <v>275</v>
      </c>
      <c r="U44" s="1248">
        <v>264</v>
      </c>
      <c r="V44" s="1248">
        <v>253</v>
      </c>
      <c r="W44" s="1248">
        <v>259</v>
      </c>
      <c r="X44" s="1248">
        <v>252</v>
      </c>
      <c r="Y44" s="1248">
        <v>304</v>
      </c>
      <c r="Z44" s="1248">
        <v>302</v>
      </c>
      <c r="AA44" s="1248">
        <v>176</v>
      </c>
      <c r="AB44" s="1248">
        <v>186</v>
      </c>
      <c r="AC44" s="1248"/>
      <c r="AD44" s="1248"/>
      <c r="AE44" s="1248"/>
      <c r="AF44" s="1248"/>
      <c r="AG44" s="1248"/>
      <c r="AH44" s="1248"/>
      <c r="AI44" s="1248"/>
      <c r="AJ44" s="1248"/>
      <c r="AK44" s="1248"/>
      <c r="AL44" s="1248"/>
      <c r="AM44" s="1248"/>
      <c r="AN44" s="1248"/>
      <c r="AO44" s="1322"/>
      <c r="AP44" s="1322"/>
      <c r="AQ44" s="1324"/>
      <c r="AR44" s="1324"/>
      <c r="AS44" s="1324"/>
      <c r="AT44" s="1322"/>
      <c r="AU44" s="1322"/>
      <c r="AV44" s="1322"/>
      <c r="AW44" s="1322"/>
      <c r="AX44" s="1322"/>
      <c r="AY44" s="1322">
        <v>291</v>
      </c>
      <c r="AZ44" s="1294">
        <v>269</v>
      </c>
      <c r="BA44" s="1701">
        <v>22</v>
      </c>
      <c r="BB44" s="1628">
        <v>8.1784386617100371E-2</v>
      </c>
      <c r="BC44" s="1633"/>
      <c r="BD44" s="1322">
        <v>291</v>
      </c>
      <c r="BE44" s="1322">
        <v>269</v>
      </c>
      <c r="BF44" s="1322">
        <v>286</v>
      </c>
      <c r="BG44" s="1322">
        <v>253</v>
      </c>
      <c r="BH44" s="1322">
        <v>302</v>
      </c>
      <c r="BI44" s="1322">
        <v>175</v>
      </c>
      <c r="BJ44" s="1322">
        <v>163</v>
      </c>
      <c r="BK44" s="1322">
        <v>151</v>
      </c>
      <c r="BL44" s="1773"/>
      <c r="BM44" s="1644"/>
      <c r="BN44" s="1778"/>
      <c r="BO44" s="1778"/>
      <c r="BP44" s="1778"/>
      <c r="BQ44" s="1603"/>
      <c r="BS44" s="1560"/>
      <c r="BT44" s="1560"/>
      <c r="BU44" s="1560"/>
      <c r="BV44" s="1560"/>
    </row>
    <row r="45" spans="1:74" ht="12.75" customHeight="1" x14ac:dyDescent="0.2">
      <c r="A45" s="1631"/>
      <c r="B45" s="1631"/>
      <c r="C45" s="1629"/>
      <c r="D45" s="1628"/>
      <c r="E45" s="1591"/>
      <c r="F45" s="1591"/>
      <c r="G45" s="1591"/>
      <c r="H45" s="1591"/>
      <c r="I45" s="1195"/>
      <c r="J45" s="1628"/>
      <c r="K45" s="1628"/>
      <c r="L45" s="1628"/>
      <c r="M45" s="1248"/>
      <c r="N45" s="1628"/>
      <c r="O45" s="1628"/>
      <c r="P45" s="1628"/>
      <c r="Q45" s="1248"/>
      <c r="R45" s="1628"/>
      <c r="S45" s="1628"/>
      <c r="T45" s="162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322"/>
      <c r="AP45" s="1322"/>
      <c r="AQ45" s="1324"/>
      <c r="AR45" s="1324"/>
      <c r="AS45" s="1324"/>
      <c r="AT45" s="1322"/>
      <c r="AU45" s="1322"/>
      <c r="AV45" s="1322"/>
      <c r="AW45" s="1322"/>
      <c r="AX45" s="1322"/>
      <c r="AY45" s="1322"/>
      <c r="AZ45" s="1294"/>
      <c r="BA45" s="1701"/>
      <c r="BB45" s="1628"/>
      <c r="BC45" s="1633"/>
      <c r="BD45" s="1322"/>
      <c r="BE45" s="1322"/>
      <c r="BF45" s="1322"/>
      <c r="BG45" s="1322"/>
      <c r="BH45" s="1322"/>
      <c r="BI45" s="1322"/>
      <c r="BJ45" s="1322"/>
      <c r="BK45" s="1322"/>
      <c r="BL45" s="1773"/>
      <c r="BM45" s="1644"/>
      <c r="BN45" s="1778"/>
      <c r="BO45" s="1778"/>
      <c r="BP45" s="1778"/>
      <c r="BQ45" s="1603"/>
      <c r="BS45" s="1560"/>
      <c r="BT45" s="1560"/>
      <c r="BU45" s="1560"/>
      <c r="BV45" s="1560"/>
    </row>
    <row r="46" spans="1:74" ht="18" customHeight="1" x14ac:dyDescent="0.2">
      <c r="A46" s="1634" t="s">
        <v>252</v>
      </c>
      <c r="B46" s="1608"/>
      <c r="C46" s="1635"/>
      <c r="D46" s="1635"/>
      <c r="E46" s="1573"/>
      <c r="F46" s="1573"/>
      <c r="G46" s="1573"/>
      <c r="H46" s="1573"/>
      <c r="I46" s="1573"/>
      <c r="J46" s="1633"/>
      <c r="K46" s="1633"/>
      <c r="L46" s="1633"/>
      <c r="M46" s="1633"/>
      <c r="N46" s="1633"/>
      <c r="O46" s="1633"/>
      <c r="P46" s="1633"/>
      <c r="Q46" s="1633"/>
      <c r="R46" s="1633"/>
      <c r="S46" s="1633"/>
      <c r="T46" s="1633"/>
      <c r="U46" s="1633"/>
      <c r="V46" s="1633"/>
      <c r="W46" s="1633"/>
      <c r="X46" s="1633"/>
      <c r="Y46" s="1633"/>
      <c r="Z46" s="1633"/>
      <c r="AA46" s="1633"/>
      <c r="AB46" s="1633"/>
      <c r="AC46" s="1633"/>
      <c r="AD46" s="1633"/>
      <c r="AE46" s="1633"/>
      <c r="AF46" s="1633"/>
      <c r="AG46" s="1633"/>
      <c r="AH46" s="1633"/>
      <c r="AI46" s="1633"/>
      <c r="AJ46" s="1633"/>
      <c r="AK46" s="1633"/>
      <c r="AL46" s="1633"/>
      <c r="AM46" s="1633"/>
      <c r="AN46" s="1633"/>
      <c r="AO46" s="1633"/>
      <c r="AP46" s="1633"/>
      <c r="AQ46" s="1633"/>
      <c r="AR46" s="1635"/>
      <c r="AS46" s="1635"/>
      <c r="AT46" s="1635"/>
      <c r="AU46" s="1635"/>
      <c r="AV46" s="1635"/>
      <c r="AW46" s="1635"/>
      <c r="AX46" s="1633"/>
      <c r="AY46" s="1635"/>
      <c r="AZ46" s="1635"/>
      <c r="BA46" s="1688"/>
      <c r="BB46" s="1688"/>
      <c r="BC46" s="1635"/>
      <c r="BD46" s="1635"/>
      <c r="BE46" s="1635"/>
      <c r="BF46" s="1635"/>
      <c r="BG46" s="1635"/>
      <c r="BH46" s="1635"/>
      <c r="BI46" s="1635"/>
      <c r="BJ46" s="1635"/>
      <c r="BK46" s="1635"/>
      <c r="BL46" s="1635"/>
      <c r="BM46" s="1635"/>
      <c r="BN46" s="1780"/>
      <c r="BO46" s="1780"/>
      <c r="BP46" s="1780"/>
      <c r="BQ46" s="1603"/>
      <c r="BS46" s="1560"/>
      <c r="BT46" s="1560"/>
      <c r="BU46" s="1560"/>
      <c r="BV46" s="1560"/>
    </row>
    <row r="47" spans="1:74" ht="12.75" customHeight="1" x14ac:dyDescent="0.2">
      <c r="A47" s="1636"/>
      <c r="B47" s="1608"/>
      <c r="C47" s="1635"/>
      <c r="D47" s="1635"/>
      <c r="E47" s="1573"/>
      <c r="F47" s="1573"/>
      <c r="G47" s="1573"/>
      <c r="H47" s="2334"/>
      <c r="I47" s="1573"/>
      <c r="J47" s="1633"/>
      <c r="K47" s="1633"/>
      <c r="L47" s="1781"/>
      <c r="M47" s="1633"/>
      <c r="N47" s="1633"/>
      <c r="O47" s="1633"/>
      <c r="P47" s="1781"/>
      <c r="Q47" s="1633"/>
      <c r="R47" s="1633"/>
      <c r="S47" s="1633"/>
      <c r="T47" s="1781"/>
      <c r="U47" s="1633"/>
      <c r="V47" s="1633"/>
      <c r="W47" s="1633"/>
      <c r="X47" s="1781"/>
      <c r="Y47" s="1633"/>
      <c r="Z47" s="1633"/>
      <c r="AA47" s="1633"/>
      <c r="AB47" s="1781"/>
      <c r="AC47" s="1633"/>
      <c r="AD47" s="1781"/>
      <c r="AE47" s="1633"/>
      <c r="AF47" s="1781"/>
      <c r="AG47" s="1633"/>
      <c r="AH47" s="1781"/>
      <c r="AI47" s="1633"/>
      <c r="AJ47" s="1781"/>
      <c r="AK47" s="1633"/>
      <c r="AL47" s="1781"/>
      <c r="AM47" s="1633"/>
      <c r="AN47" s="1633"/>
      <c r="AO47" s="1633"/>
      <c r="AP47" s="1633"/>
      <c r="AQ47" s="1633"/>
      <c r="AR47" s="1635"/>
      <c r="AS47" s="1635"/>
      <c r="AT47" s="1635"/>
      <c r="AU47" s="1635"/>
      <c r="AV47" s="1635"/>
      <c r="AW47" s="1635"/>
      <c r="AX47" s="1633"/>
      <c r="AY47" s="1635"/>
      <c r="AZ47" s="1635"/>
      <c r="BA47" s="1688"/>
      <c r="BB47" s="1688"/>
      <c r="BC47" s="1635"/>
      <c r="BD47" s="1635"/>
      <c r="BE47" s="1635"/>
      <c r="BF47" s="1635"/>
      <c r="BG47" s="1635"/>
      <c r="BH47" s="1635"/>
      <c r="BI47" s="1635"/>
      <c r="BJ47" s="1635"/>
      <c r="BK47" s="1635"/>
      <c r="BL47" s="1635"/>
      <c r="BM47" s="1635"/>
      <c r="BN47" s="1780"/>
      <c r="BO47" s="1780"/>
      <c r="BP47" s="1780"/>
      <c r="BQ47" s="1603"/>
      <c r="BS47" s="1560"/>
      <c r="BT47" s="1560"/>
      <c r="BU47" s="1560"/>
      <c r="BV47" s="1560"/>
    </row>
    <row r="48" spans="1:74" ht="12.75" customHeight="1" x14ac:dyDescent="0.2">
      <c r="A48" s="1607"/>
      <c r="B48" s="1608"/>
      <c r="C48" s="2483" t="s">
        <v>456</v>
      </c>
      <c r="D48" s="2484"/>
      <c r="E48" s="1565"/>
      <c r="F48" s="1566"/>
      <c r="G48" s="1566"/>
      <c r="H48" s="1878"/>
      <c r="I48" s="2348"/>
      <c r="J48" s="1659"/>
      <c r="K48" s="1659"/>
      <c r="L48" s="1888"/>
      <c r="M48" s="1889"/>
      <c r="N48" s="1659"/>
      <c r="O48" s="1659"/>
      <c r="P48" s="1888"/>
      <c r="Q48" s="1889"/>
      <c r="R48" s="1659"/>
      <c r="S48" s="1659"/>
      <c r="T48" s="1888"/>
      <c r="U48" s="1889"/>
      <c r="V48" s="1888"/>
      <c r="W48" s="1888"/>
      <c r="X48" s="1888"/>
      <c r="Y48" s="1889"/>
      <c r="Z48" s="1888"/>
      <c r="AA48" s="1888"/>
      <c r="AB48" s="1888"/>
      <c r="AC48" s="1888"/>
      <c r="AD48" s="1782"/>
      <c r="AE48" s="1888"/>
      <c r="AF48" s="1888"/>
      <c r="AG48" s="1888"/>
      <c r="AH48" s="1782"/>
      <c r="AI48" s="1888"/>
      <c r="AJ48" s="1888"/>
      <c r="AK48" s="1888"/>
      <c r="AL48" s="1782"/>
      <c r="AM48" s="1888"/>
      <c r="AN48" s="1889"/>
      <c r="AO48" s="1889"/>
      <c r="AP48" s="1889"/>
      <c r="AQ48" s="1633"/>
      <c r="AR48" s="1633"/>
      <c r="AS48" s="1608"/>
      <c r="AT48" s="1633"/>
      <c r="AU48" s="1608"/>
      <c r="AV48" s="1608"/>
      <c r="AW48" s="1633"/>
      <c r="AX48" s="1687"/>
      <c r="AY48" s="1006" t="s">
        <v>448</v>
      </c>
      <c r="AZ48" s="1006"/>
      <c r="BA48" s="1006" t="s">
        <v>441</v>
      </c>
      <c r="BB48" s="1007"/>
      <c r="BC48" s="1662"/>
      <c r="BD48" s="1663"/>
      <c r="BE48" s="1663"/>
      <c r="BF48" s="1663"/>
      <c r="BG48" s="1663"/>
      <c r="BH48" s="1663"/>
      <c r="BI48" s="1663"/>
      <c r="BJ48" s="1663"/>
      <c r="BK48" s="1663"/>
      <c r="BL48" s="1783"/>
      <c r="BM48" s="1783"/>
      <c r="BN48" s="1663"/>
      <c r="BO48" s="1663"/>
      <c r="BP48" s="1663"/>
      <c r="BQ48" s="1666"/>
      <c r="BS48" s="1560"/>
      <c r="BT48" s="1560"/>
      <c r="BU48" s="1560"/>
      <c r="BV48" s="1560"/>
    </row>
    <row r="49" spans="1:74" ht="12.75" customHeight="1" x14ac:dyDescent="0.2">
      <c r="A49" s="1607"/>
      <c r="B49" s="1608"/>
      <c r="C49" s="2478" t="s">
        <v>39</v>
      </c>
      <c r="D49" s="2479"/>
      <c r="E49" s="1568"/>
      <c r="F49" s="925" t="s">
        <v>452</v>
      </c>
      <c r="G49" s="925" t="s">
        <v>453</v>
      </c>
      <c r="H49" s="925" t="s">
        <v>454</v>
      </c>
      <c r="I49" s="2281" t="s">
        <v>455</v>
      </c>
      <c r="J49" s="1010" t="s">
        <v>399</v>
      </c>
      <c r="K49" s="1010" t="s">
        <v>398</v>
      </c>
      <c r="L49" s="1010" t="s">
        <v>397</v>
      </c>
      <c r="M49" s="1011" t="s">
        <v>395</v>
      </c>
      <c r="N49" s="1010" t="s">
        <v>373</v>
      </c>
      <c r="O49" s="1010" t="s">
        <v>374</v>
      </c>
      <c r="P49" s="1010" t="s">
        <v>375</v>
      </c>
      <c r="Q49" s="1011" t="s">
        <v>376</v>
      </c>
      <c r="R49" s="1667" t="s">
        <v>330</v>
      </c>
      <c r="S49" s="1667" t="s">
        <v>329</v>
      </c>
      <c r="T49" s="1667" t="s">
        <v>328</v>
      </c>
      <c r="U49" s="1668" t="s">
        <v>326</v>
      </c>
      <c r="V49" s="1667" t="s">
        <v>282</v>
      </c>
      <c r="W49" s="1667" t="s">
        <v>283</v>
      </c>
      <c r="X49" s="1667" t="s">
        <v>284</v>
      </c>
      <c r="Y49" s="1668" t="s">
        <v>285</v>
      </c>
      <c r="Z49" s="1667" t="s">
        <v>220</v>
      </c>
      <c r="AA49" s="1667" t="s">
        <v>221</v>
      </c>
      <c r="AB49" s="1667" t="s">
        <v>222</v>
      </c>
      <c r="AC49" s="1668" t="s">
        <v>219</v>
      </c>
      <c r="AD49" s="1669" t="s">
        <v>185</v>
      </c>
      <c r="AE49" s="1667" t="s">
        <v>186</v>
      </c>
      <c r="AF49" s="1667" t="s">
        <v>187</v>
      </c>
      <c r="AG49" s="1667" t="e">
        <v>#REF!</v>
      </c>
      <c r="AH49" s="1669" t="s">
        <v>118</v>
      </c>
      <c r="AI49" s="1667" t="s">
        <v>117</v>
      </c>
      <c r="AJ49" s="1667" t="s">
        <v>116</v>
      </c>
      <c r="AK49" s="1667" t="s">
        <v>115</v>
      </c>
      <c r="AL49" s="1669" t="s">
        <v>83</v>
      </c>
      <c r="AM49" s="1667" t="s">
        <v>84</v>
      </c>
      <c r="AN49" s="1668" t="s">
        <v>85</v>
      </c>
      <c r="AO49" s="1668" t="s">
        <v>30</v>
      </c>
      <c r="AP49" s="1668" t="s">
        <v>30</v>
      </c>
      <c r="AQ49" s="1633"/>
      <c r="AR49" s="1633"/>
      <c r="AS49" s="1608"/>
      <c r="AT49" s="1633"/>
      <c r="AU49" s="1608"/>
      <c r="AV49" s="1608"/>
      <c r="AW49" s="1633"/>
      <c r="AX49" s="1687"/>
      <c r="AY49" s="1010" t="s">
        <v>399</v>
      </c>
      <c r="AZ49" s="1010" t="s">
        <v>373</v>
      </c>
      <c r="BA49" s="2485" t="s">
        <v>39</v>
      </c>
      <c r="BB49" s="2458"/>
      <c r="BC49" s="1671"/>
      <c r="BD49" s="1012" t="s">
        <v>438</v>
      </c>
      <c r="BE49" s="1012" t="s">
        <v>385</v>
      </c>
      <c r="BF49" s="1012" t="s">
        <v>332</v>
      </c>
      <c r="BG49" s="1672" t="s">
        <v>287</v>
      </c>
      <c r="BH49" s="1672" t="s">
        <v>224</v>
      </c>
      <c r="BI49" s="1672" t="s">
        <v>120</v>
      </c>
      <c r="BJ49" s="1669"/>
      <c r="BK49" s="1669"/>
      <c r="BL49" s="1672"/>
      <c r="BM49" s="1672"/>
      <c r="BN49" s="1672"/>
      <c r="BO49" s="1672"/>
      <c r="BP49" s="1672"/>
      <c r="BQ49" s="1666"/>
      <c r="BS49" s="1560"/>
      <c r="BT49" s="1560"/>
      <c r="BU49" s="1560"/>
      <c r="BV49" s="1560"/>
    </row>
    <row r="50" spans="1:74" ht="12.75" customHeight="1" x14ac:dyDescent="0.2">
      <c r="A50" s="1637"/>
      <c r="B50" s="1633" t="s">
        <v>4</v>
      </c>
      <c r="C50" s="1638">
        <v>-1076</v>
      </c>
      <c r="D50" s="1618">
        <v>-1.964399817434961E-2</v>
      </c>
      <c r="E50" s="1572"/>
      <c r="F50" s="1593">
        <v>0</v>
      </c>
      <c r="G50" s="1593">
        <v>0</v>
      </c>
      <c r="H50" s="1593">
        <v>0</v>
      </c>
      <c r="I50" s="2341">
        <v>53699</v>
      </c>
      <c r="J50" s="1785">
        <v>55262</v>
      </c>
      <c r="K50" s="1785">
        <v>51442</v>
      </c>
      <c r="L50" s="1785">
        <v>55932</v>
      </c>
      <c r="M50" s="1810">
        <v>54775</v>
      </c>
      <c r="N50" s="1785">
        <v>56515</v>
      </c>
      <c r="O50" s="1785">
        <v>43493</v>
      </c>
      <c r="P50" s="1785">
        <v>40703</v>
      </c>
      <c r="Q50" s="1810">
        <v>62261</v>
      </c>
      <c r="R50" s="1785">
        <v>71273</v>
      </c>
      <c r="S50" s="1785">
        <v>48269</v>
      </c>
      <c r="T50" s="1785">
        <v>44000</v>
      </c>
      <c r="U50" s="1810">
        <v>52943</v>
      </c>
      <c r="V50" s="1785">
        <v>45206</v>
      </c>
      <c r="W50" s="1785">
        <v>37625</v>
      </c>
      <c r="X50" s="1785">
        <v>39474</v>
      </c>
      <c r="Y50" s="1810">
        <v>31050</v>
      </c>
      <c r="Z50" s="1785">
        <v>18487</v>
      </c>
      <c r="AA50" s="1785">
        <v>17197</v>
      </c>
      <c r="AB50" s="1785">
        <v>17790</v>
      </c>
      <c r="AC50" s="1786">
        <v>26012</v>
      </c>
      <c r="AD50" s="1785">
        <v>27712</v>
      </c>
      <c r="AE50" s="1787">
        <v>32618</v>
      </c>
      <c r="AF50" s="1785">
        <v>20083</v>
      </c>
      <c r="AG50" s="1786">
        <v>0</v>
      </c>
      <c r="AH50" s="1785">
        <v>32806</v>
      </c>
      <c r="AI50" s="1787">
        <v>58040</v>
      </c>
      <c r="AJ50" s="1785">
        <v>27314</v>
      </c>
      <c r="AK50" s="1786">
        <v>30054</v>
      </c>
      <c r="AL50" s="1787">
        <v>25033</v>
      </c>
      <c r="AM50" s="1787">
        <v>12639</v>
      </c>
      <c r="AN50" s="1785">
        <v>23461</v>
      </c>
      <c r="AO50" s="1786">
        <v>34352</v>
      </c>
      <c r="AP50" s="1788">
        <v>31944</v>
      </c>
      <c r="AQ50" s="1788">
        <v>42952</v>
      </c>
      <c r="AR50" s="1788">
        <v>39210</v>
      </c>
      <c r="AS50" s="1788">
        <v>62549</v>
      </c>
      <c r="AT50" s="1789">
        <v>57382</v>
      </c>
      <c r="AU50" s="1790">
        <v>48897</v>
      </c>
      <c r="AV50" s="1790">
        <v>38533</v>
      </c>
      <c r="AW50" s="1791">
        <v>42750</v>
      </c>
      <c r="AX50" s="1687"/>
      <c r="AY50" s="1709">
        <v>217411</v>
      </c>
      <c r="AZ50" s="1709">
        <v>202972</v>
      </c>
      <c r="BA50" s="1918">
        <v>14439</v>
      </c>
      <c r="BB50" s="1618">
        <v>7.1137890940622353E-2</v>
      </c>
      <c r="BC50" s="1635"/>
      <c r="BD50" s="1793">
        <v>217411</v>
      </c>
      <c r="BE50" s="1793">
        <v>202972</v>
      </c>
      <c r="BF50" s="1793">
        <v>216485</v>
      </c>
      <c r="BG50" s="1793">
        <v>153355</v>
      </c>
      <c r="BH50" s="1793">
        <v>79486</v>
      </c>
      <c r="BI50" s="1793">
        <v>106219</v>
      </c>
      <c r="BJ50" s="1793">
        <f>+BJ15</f>
        <v>97629</v>
      </c>
      <c r="BK50" s="1793">
        <f>+BK15</f>
        <v>74794</v>
      </c>
      <c r="BL50" s="1793">
        <f>+BL15</f>
        <v>90788</v>
      </c>
      <c r="BM50" s="1794">
        <v>187562</v>
      </c>
      <c r="BN50" s="1753">
        <v>150470</v>
      </c>
      <c r="BO50" s="1753">
        <f>BO15</f>
        <v>95559</v>
      </c>
      <c r="BP50" s="1753">
        <v>211758</v>
      </c>
      <c r="BQ50" s="1666"/>
      <c r="BS50" s="1560"/>
      <c r="BT50" s="1560"/>
      <c r="BU50" s="1560"/>
      <c r="BV50" s="1560"/>
    </row>
    <row r="51" spans="1:74" ht="12.75" customHeight="1" x14ac:dyDescent="0.2">
      <c r="A51" s="1635"/>
      <c r="B51" s="1633" t="s">
        <v>82</v>
      </c>
      <c r="C51" s="1638">
        <v>3142</v>
      </c>
      <c r="D51" s="1618">
        <v>6.2108363478226493E-2</v>
      </c>
      <c r="E51" s="1595"/>
      <c r="F51" s="1593">
        <v>0</v>
      </c>
      <c r="G51" s="1593">
        <v>0</v>
      </c>
      <c r="H51" s="1593">
        <v>0</v>
      </c>
      <c r="I51" s="2335">
        <v>53731</v>
      </c>
      <c r="J51" s="1785">
        <v>57504</v>
      </c>
      <c r="K51" s="1785">
        <v>58473.600000000006</v>
      </c>
      <c r="L51" s="1785">
        <v>54637</v>
      </c>
      <c r="M51" s="1786">
        <v>50589</v>
      </c>
      <c r="N51" s="1785">
        <v>53912</v>
      </c>
      <c r="O51" s="1785">
        <v>48726</v>
      </c>
      <c r="P51" s="1785">
        <v>42953</v>
      </c>
      <c r="Q51" s="1786">
        <v>53542</v>
      </c>
      <c r="R51" s="1785">
        <v>55887</v>
      </c>
      <c r="S51" s="1785">
        <v>44686</v>
      </c>
      <c r="T51" s="1785">
        <v>40148</v>
      </c>
      <c r="U51" s="1786">
        <v>46169</v>
      </c>
      <c r="V51" s="1785">
        <v>41114</v>
      </c>
      <c r="W51" s="1785">
        <v>35855</v>
      </c>
      <c r="X51" s="1785">
        <v>38539</v>
      </c>
      <c r="Y51" s="1786">
        <v>40439</v>
      </c>
      <c r="Z51" s="1785">
        <v>23089</v>
      </c>
      <c r="AA51" s="1785">
        <v>18535</v>
      </c>
      <c r="AB51" s="1785">
        <v>19894</v>
      </c>
      <c r="AC51" s="1786">
        <v>23244</v>
      </c>
      <c r="AD51" s="1785">
        <v>22838</v>
      </c>
      <c r="AE51" s="1785">
        <v>26863</v>
      </c>
      <c r="AF51" s="1785">
        <v>19909</v>
      </c>
      <c r="AG51" s="1786" t="e">
        <v>#REF!</v>
      </c>
      <c r="AH51" s="1785">
        <v>22693</v>
      </c>
      <c r="AI51" s="1785">
        <v>37922</v>
      </c>
      <c r="AJ51" s="1785">
        <v>19480</v>
      </c>
      <c r="AK51" s="1786">
        <v>22187</v>
      </c>
      <c r="AL51" s="1785">
        <v>0</v>
      </c>
      <c r="AM51" s="1785">
        <v>0</v>
      </c>
      <c r="AN51" s="1785">
        <v>0</v>
      </c>
      <c r="AO51" s="1786">
        <v>0</v>
      </c>
      <c r="AP51" s="1788">
        <v>0</v>
      </c>
      <c r="AQ51" s="1788">
        <v>86348</v>
      </c>
      <c r="AR51" s="1788">
        <v>72982</v>
      </c>
      <c r="AS51" s="1788">
        <v>106349</v>
      </c>
      <c r="AT51" s="1795">
        <v>100905</v>
      </c>
      <c r="AU51" s="1790">
        <v>75317</v>
      </c>
      <c r="AV51" s="1790">
        <v>70703</v>
      </c>
      <c r="AW51" s="1790">
        <v>91522</v>
      </c>
      <c r="AX51" s="1687"/>
      <c r="AY51" s="1796">
        <v>221203.6</v>
      </c>
      <c r="AZ51" s="1709">
        <v>199133</v>
      </c>
      <c r="BA51" s="1933">
        <v>22070.600000000006</v>
      </c>
      <c r="BB51" s="1798">
        <v>0.11083346306237543</v>
      </c>
      <c r="BC51" s="1635"/>
      <c r="BD51" s="1793">
        <v>221203.6</v>
      </c>
      <c r="BE51" s="1793">
        <v>199133</v>
      </c>
      <c r="BF51" s="1793">
        <v>186890</v>
      </c>
      <c r="BG51" s="1793">
        <v>155947</v>
      </c>
      <c r="BH51" s="1793">
        <v>84762</v>
      </c>
      <c r="BI51" s="1793">
        <v>91835</v>
      </c>
      <c r="BJ51" s="1793">
        <f>+BJ30-BJ29-BJ28</f>
        <v>87572</v>
      </c>
      <c r="BK51" s="1817" t="e">
        <f>+BK30-BK29-BK28-#REF!</f>
        <v>#REF!</v>
      </c>
      <c r="BL51" s="1793">
        <f>+BL30-BL29-BL28</f>
        <v>98154</v>
      </c>
      <c r="BM51" s="1799">
        <f>BM30</f>
        <v>125171</v>
      </c>
      <c r="BN51" s="1715">
        <f>BN30</f>
        <v>105485</v>
      </c>
      <c r="BO51" s="1715">
        <f>BO30</f>
        <v>67435</v>
      </c>
      <c r="BP51" s="1715">
        <v>154490</v>
      </c>
      <c r="BQ51" s="1666"/>
      <c r="BS51" s="1560"/>
      <c r="BT51" s="1560"/>
      <c r="BU51" s="1560"/>
      <c r="BV51" s="1560"/>
    </row>
    <row r="52" spans="1:74" ht="24.75" customHeight="1" x14ac:dyDescent="0.2">
      <c r="A52" s="1635"/>
      <c r="B52" s="1624" t="s">
        <v>179</v>
      </c>
      <c r="C52" s="1638">
        <v>-4218</v>
      </c>
      <c r="D52" s="1618">
        <v>-1.0076445293836598</v>
      </c>
      <c r="E52" s="1595"/>
      <c r="F52" s="1209">
        <v>0</v>
      </c>
      <c r="G52" s="1209">
        <v>0</v>
      </c>
      <c r="H52" s="1209">
        <v>0</v>
      </c>
      <c r="I52" s="2288">
        <v>-32</v>
      </c>
      <c r="J52" s="1322">
        <v>-2242</v>
      </c>
      <c r="K52" s="1322">
        <v>-7031.6000000000058</v>
      </c>
      <c r="L52" s="1322">
        <v>1295</v>
      </c>
      <c r="M52" s="1786">
        <v>4186</v>
      </c>
      <c r="N52" s="1322">
        <v>2603</v>
      </c>
      <c r="O52" s="1322">
        <v>-5233</v>
      </c>
      <c r="P52" s="1322">
        <v>-2250</v>
      </c>
      <c r="Q52" s="1786">
        <v>8719</v>
      </c>
      <c r="R52" s="1785">
        <v>15386</v>
      </c>
      <c r="S52" s="1785">
        <v>3583</v>
      </c>
      <c r="T52" s="1785">
        <v>3852</v>
      </c>
      <c r="U52" s="1786">
        <v>6774</v>
      </c>
      <c r="V52" s="1785">
        <v>4092</v>
      </c>
      <c r="W52" s="1785">
        <v>1770</v>
      </c>
      <c r="X52" s="1785">
        <v>935</v>
      </c>
      <c r="Y52" s="1296">
        <v>-9389</v>
      </c>
      <c r="Z52" s="1322">
        <v>-4602</v>
      </c>
      <c r="AA52" s="1322">
        <v>-1338</v>
      </c>
      <c r="AB52" s="1322">
        <v>-2104</v>
      </c>
      <c r="AC52" s="1296">
        <v>2768</v>
      </c>
      <c r="AD52" s="1322">
        <v>4874</v>
      </c>
      <c r="AE52" s="1322">
        <v>5755</v>
      </c>
      <c r="AF52" s="1322">
        <v>174</v>
      </c>
      <c r="AG52" s="1296" t="e">
        <v>#REF!</v>
      </c>
      <c r="AH52" s="1322">
        <v>10113</v>
      </c>
      <c r="AI52" s="1322">
        <v>20118</v>
      </c>
      <c r="AJ52" s="1322">
        <v>7834</v>
      </c>
      <c r="AK52" s="1296">
        <v>7867</v>
      </c>
      <c r="AL52" s="1322">
        <v>25033</v>
      </c>
      <c r="AM52" s="1322">
        <v>12639</v>
      </c>
      <c r="AN52" s="1322">
        <v>23461</v>
      </c>
      <c r="AO52" s="1296">
        <v>34352</v>
      </c>
      <c r="AP52" s="1322">
        <v>31944</v>
      </c>
      <c r="AQ52" s="1322">
        <v>23235</v>
      </c>
      <c r="AR52" s="1322">
        <v>16089</v>
      </c>
      <c r="AS52" s="1322">
        <v>48674</v>
      </c>
      <c r="AT52" s="1240">
        <v>29246</v>
      </c>
      <c r="AU52" s="1293">
        <v>26110</v>
      </c>
      <c r="AV52" s="1293">
        <v>22330</v>
      </c>
      <c r="AW52" s="1293">
        <v>33584</v>
      </c>
      <c r="AX52" s="1297"/>
      <c r="AY52" s="1248">
        <v>-3792.6000000000058</v>
      </c>
      <c r="AZ52" s="1248">
        <v>3839</v>
      </c>
      <c r="BA52" s="1797">
        <v>-7631.6000000000058</v>
      </c>
      <c r="BB52" s="1640">
        <v>-1.9879135191456123</v>
      </c>
      <c r="BC52" s="1635"/>
      <c r="BD52" s="1493">
        <v>-3792.6000000000058</v>
      </c>
      <c r="BE52" s="1793">
        <v>3839</v>
      </c>
      <c r="BF52" s="1793">
        <v>29595</v>
      </c>
      <c r="BG52" s="1297">
        <v>-2592</v>
      </c>
      <c r="BH52" s="1297">
        <v>-5276</v>
      </c>
      <c r="BI52" s="1297">
        <v>14384</v>
      </c>
      <c r="BJ52" s="1297">
        <f t="shared" ref="BJ52:BO52" si="7">BJ50-BJ51</f>
        <v>10057</v>
      </c>
      <c r="BK52" s="1297" t="e">
        <f t="shared" si="7"/>
        <v>#REF!</v>
      </c>
      <c r="BL52" s="1800">
        <f t="shared" si="7"/>
        <v>-7366</v>
      </c>
      <c r="BM52" s="1801">
        <f t="shared" si="7"/>
        <v>62391</v>
      </c>
      <c r="BN52" s="1802">
        <f t="shared" si="7"/>
        <v>44985</v>
      </c>
      <c r="BO52" s="1802">
        <f t="shared" si="7"/>
        <v>28124</v>
      </c>
      <c r="BP52" s="1802">
        <v>57268</v>
      </c>
      <c r="BQ52" s="1666"/>
      <c r="BS52" s="1560"/>
      <c r="BT52" s="1560"/>
      <c r="BU52" s="1560"/>
      <c r="BV52" s="1560"/>
    </row>
    <row r="53" spans="1:74" ht="24.75" customHeight="1" x14ac:dyDescent="0.2">
      <c r="A53" s="1635"/>
      <c r="B53" s="1624" t="s">
        <v>353</v>
      </c>
      <c r="C53" s="1641">
        <v>-4215</v>
      </c>
      <c r="D53" s="1620">
        <v>-1.2277891057384211</v>
      </c>
      <c r="E53" s="1595"/>
      <c r="F53" s="1224">
        <v>0</v>
      </c>
      <c r="G53" s="1224">
        <v>0</v>
      </c>
      <c r="H53" s="1224">
        <v>0</v>
      </c>
      <c r="I53" s="2316">
        <v>-782</v>
      </c>
      <c r="J53" s="1378">
        <v>-2992</v>
      </c>
      <c r="K53" s="1378">
        <v>-7781.6000000000058</v>
      </c>
      <c r="L53" s="1378">
        <v>547</v>
      </c>
      <c r="M53" s="1804">
        <v>3433</v>
      </c>
      <c r="N53" s="1378">
        <v>1851</v>
      </c>
      <c r="O53" s="1378">
        <v>-5985</v>
      </c>
      <c r="P53" s="1378">
        <v>-3002</v>
      </c>
      <c r="Q53" s="1804">
        <v>7971</v>
      </c>
      <c r="R53" s="1803">
        <v>14637</v>
      </c>
      <c r="S53" s="1803">
        <v>2907</v>
      </c>
      <c r="T53" s="1803">
        <v>3101</v>
      </c>
      <c r="U53" s="1804">
        <v>6249</v>
      </c>
      <c r="V53" s="1803">
        <v>4092</v>
      </c>
      <c r="W53" s="1803">
        <v>1770</v>
      </c>
      <c r="X53" s="1803">
        <v>935</v>
      </c>
      <c r="Y53" s="1532">
        <v>-9389</v>
      </c>
      <c r="Z53" s="1378">
        <v>-4602</v>
      </c>
      <c r="AA53" s="1378">
        <v>-1338</v>
      </c>
      <c r="AB53" s="1378">
        <v>-2104</v>
      </c>
      <c r="AC53" s="1532">
        <v>2768</v>
      </c>
      <c r="AD53" s="1378"/>
      <c r="AE53" s="1378"/>
      <c r="AF53" s="1378"/>
      <c r="AG53" s="1532"/>
      <c r="AH53" s="1378"/>
      <c r="AI53" s="1378"/>
      <c r="AJ53" s="1378"/>
      <c r="AK53" s="1532"/>
      <c r="AL53" s="1378"/>
      <c r="AM53" s="1378"/>
      <c r="AN53" s="1378"/>
      <c r="AO53" s="1532"/>
      <c r="AP53" s="1378"/>
      <c r="AQ53" s="1378"/>
      <c r="AR53" s="1378"/>
      <c r="AS53" s="1378"/>
      <c r="AT53" s="1381"/>
      <c r="AU53" s="1301"/>
      <c r="AV53" s="1301"/>
      <c r="AW53" s="1301"/>
      <c r="AX53" s="1297"/>
      <c r="AY53" s="1378">
        <v>-6793.6000000000058</v>
      </c>
      <c r="AZ53" s="1302">
        <v>835</v>
      </c>
      <c r="BA53" s="1806">
        <v>-7628.6000000000058</v>
      </c>
      <c r="BB53" s="1642" t="s">
        <v>42</v>
      </c>
      <c r="BC53" s="1635"/>
      <c r="BD53" s="1328">
        <v>-6793.6000000000058</v>
      </c>
      <c r="BE53" s="1807">
        <v>835</v>
      </c>
      <c r="BF53" s="1807">
        <v>26894</v>
      </c>
      <c r="BG53" s="1552">
        <v>-2592</v>
      </c>
      <c r="BH53" s="1552">
        <v>-5276</v>
      </c>
      <c r="BI53" s="1552">
        <v>14384</v>
      </c>
      <c r="BJ53" s="1552">
        <f>+BJ52-BJ32</f>
        <v>10057</v>
      </c>
      <c r="BK53" s="1552" t="e">
        <f>+BK52-BK32</f>
        <v>#REF!</v>
      </c>
      <c r="BL53" s="1788"/>
      <c r="BM53" s="1788"/>
      <c r="BN53" s="1627"/>
      <c r="BO53" s="1627"/>
      <c r="BP53" s="1627"/>
      <c r="BQ53" s="1603"/>
      <c r="BS53" s="1560"/>
      <c r="BT53" s="1560"/>
      <c r="BU53" s="1560"/>
      <c r="BV53" s="1560"/>
    </row>
    <row r="54" spans="1:74" ht="12.75" customHeight="1" x14ac:dyDescent="0.2">
      <c r="A54" s="1635"/>
      <c r="B54" s="1633"/>
      <c r="C54" s="1643"/>
      <c r="D54" s="1644"/>
      <c r="E54" s="1592"/>
      <c r="F54" s="1564"/>
      <c r="G54" s="1564"/>
      <c r="H54" s="1564"/>
      <c r="I54" s="1573"/>
      <c r="J54" s="1608"/>
      <c r="K54" s="1608"/>
      <c r="L54" s="1608"/>
      <c r="M54" s="1633"/>
      <c r="N54" s="1644"/>
      <c r="O54" s="1608"/>
      <c r="P54" s="1608"/>
      <c r="Q54" s="1633"/>
      <c r="R54" s="1644"/>
      <c r="S54" s="1644"/>
      <c r="T54" s="1608"/>
      <c r="U54" s="1633"/>
      <c r="V54" s="1644"/>
      <c r="W54" s="1644"/>
      <c r="X54" s="1608"/>
      <c r="Y54" s="1633"/>
      <c r="Z54" s="1644"/>
      <c r="AA54" s="1644"/>
      <c r="AB54" s="1608"/>
      <c r="AC54" s="1633"/>
      <c r="AD54" s="1644"/>
      <c r="AE54" s="1644"/>
      <c r="AF54" s="1644"/>
      <c r="AG54" s="1633"/>
      <c r="AH54" s="1644"/>
      <c r="AI54" s="1644"/>
      <c r="AJ54" s="1644"/>
      <c r="AK54" s="1633"/>
      <c r="AL54" s="1644"/>
      <c r="AM54" s="1644"/>
      <c r="AN54" s="1644"/>
      <c r="AO54" s="1633"/>
      <c r="AP54" s="1635"/>
      <c r="AQ54" s="1635"/>
      <c r="AR54" s="1635"/>
      <c r="AS54" s="1635"/>
      <c r="AT54" s="1635"/>
      <c r="AU54" s="1635"/>
      <c r="AV54" s="1635"/>
      <c r="AW54" s="1635"/>
      <c r="AX54" s="1633"/>
      <c r="AY54" s="1644"/>
      <c r="AZ54" s="1644"/>
      <c r="BA54" s="1808"/>
      <c r="BB54" s="1809"/>
      <c r="BC54" s="1633"/>
      <c r="BD54" s="1633"/>
      <c r="BE54" s="1633"/>
      <c r="BF54" s="1633"/>
      <c r="BG54" s="1633"/>
      <c r="BH54" s="1633"/>
      <c r="BI54" s="1633"/>
      <c r="BJ54" s="1633"/>
      <c r="BK54" s="1633"/>
      <c r="BL54" s="1635"/>
      <c r="BM54" s="1635"/>
      <c r="BN54" s="1627"/>
      <c r="BO54" s="1627"/>
      <c r="BP54" s="1627"/>
      <c r="BQ54" s="1603"/>
      <c r="BS54" s="1560"/>
      <c r="BT54" s="1560"/>
      <c r="BU54" s="1560"/>
      <c r="BV54" s="1560"/>
    </row>
    <row r="55" spans="1:74" ht="12.75" customHeight="1" x14ac:dyDescent="0.2">
      <c r="A55" s="1635"/>
      <c r="B55" s="1630" t="s">
        <v>77</v>
      </c>
      <c r="C55" s="1629">
        <v>0.94022888659541226</v>
      </c>
      <c r="D55" s="1644"/>
      <c r="E55" s="1592"/>
      <c r="F55" s="1592" t="e">
        <v>#DIV/0!</v>
      </c>
      <c r="G55" s="1592" t="e">
        <v>#DIV/0!</v>
      </c>
      <c r="H55" s="1592" t="e">
        <v>#DIV/0!</v>
      </c>
      <c r="I55" s="1592">
        <v>0.39127358051360361</v>
      </c>
      <c r="J55" s="1644">
        <v>0.36185805797835763</v>
      </c>
      <c r="K55" s="1644">
        <v>0.46502080012441205</v>
      </c>
      <c r="L55" s="1644">
        <v>0.41570120861045556</v>
      </c>
      <c r="M55" s="1644">
        <v>0.38187129164764949</v>
      </c>
      <c r="N55" s="1644">
        <v>0.35059718658763162</v>
      </c>
      <c r="O55" s="1644">
        <v>0.51325500655277856</v>
      </c>
      <c r="P55" s="1644">
        <v>0.45721445593690885</v>
      </c>
      <c r="Q55" s="1644">
        <v>0.33107402707955219</v>
      </c>
      <c r="R55" s="1644">
        <v>0.29163919015616013</v>
      </c>
      <c r="S55" s="1644">
        <v>0.34740723860034389</v>
      </c>
      <c r="T55" s="1644">
        <v>0.33324999999999999</v>
      </c>
      <c r="U55" s="1644">
        <v>0.33046861719207449</v>
      </c>
      <c r="V55" s="1644">
        <v>0.30420740609653585</v>
      </c>
      <c r="W55" s="1644">
        <v>0.394578073089701</v>
      </c>
      <c r="X55" s="1644">
        <v>0.40728074175406598</v>
      </c>
      <c r="Y55" s="1644">
        <v>0.60724637681159421</v>
      </c>
      <c r="Z55" s="1644">
        <v>0.46600313733975224</v>
      </c>
      <c r="AA55" s="1644">
        <v>0.47060533814037331</v>
      </c>
      <c r="AB55" s="1644">
        <v>0.5132096683530073</v>
      </c>
      <c r="AC55" s="1644">
        <v>0.30881900661233275</v>
      </c>
      <c r="AD55" s="1644">
        <v>0.25306726327944573</v>
      </c>
      <c r="AE55" s="1644">
        <v>0.24351585014409222</v>
      </c>
      <c r="AF55" s="1644">
        <v>0.37499377583030424</v>
      </c>
      <c r="AG55" s="1644" t="e">
        <v>#REF!</v>
      </c>
      <c r="AH55" s="1644">
        <v>0.1537803312755944</v>
      </c>
      <c r="AI55" s="1644">
        <v>0.10480982581197477</v>
      </c>
      <c r="AJ55" s="1644">
        <v>0.15381132075471698</v>
      </c>
      <c r="AK55" s="1644">
        <v>0.14983030545018966</v>
      </c>
      <c r="AL55" s="1644" t="e">
        <v>#DIV/0!</v>
      </c>
      <c r="AM55" s="1644" t="e">
        <v>#DIV/0!</v>
      </c>
      <c r="AN55" s="1644" t="e">
        <v>#DIV/0!</v>
      </c>
      <c r="AO55" s="1644" t="e">
        <v>#DIV/0!</v>
      </c>
      <c r="AP55" s="1644" t="e">
        <v>#DIV/0!</v>
      </c>
      <c r="AQ55" s="1773">
        <v>0.22941514650995137</v>
      </c>
      <c r="AR55" s="1773">
        <v>0.30967430476810637</v>
      </c>
      <c r="AS55" s="1773">
        <v>0.16900000000000004</v>
      </c>
      <c r="AT55" s="1773">
        <v>0.21100000000000008</v>
      </c>
      <c r="AU55" s="1773">
        <v>0.20399999999999996</v>
      </c>
      <c r="AV55" s="1773">
        <v>0.249</v>
      </c>
      <c r="AW55" s="1773">
        <v>0.17899999999999994</v>
      </c>
      <c r="AX55" s="1633"/>
      <c r="AY55" s="1644">
        <v>0.40516165235429674</v>
      </c>
      <c r="AZ55" s="1644">
        <v>0.40084346609384547</v>
      </c>
      <c r="BA55" s="1629">
        <v>0.43181862604512733</v>
      </c>
      <c r="BB55" s="1809"/>
      <c r="BC55" s="1633"/>
      <c r="BD55" s="1644">
        <v>0.40516165235429674</v>
      </c>
      <c r="BE55" s="1644">
        <v>0.40084346609384547</v>
      </c>
      <c r="BF55" s="1644">
        <v>0.32202693027230522</v>
      </c>
      <c r="BG55" s="1644">
        <v>0.41426754915066349</v>
      </c>
      <c r="BH55" s="1644">
        <v>0.42612535540849961</v>
      </c>
      <c r="BI55" s="1644">
        <v>0.2784341784426515</v>
      </c>
      <c r="BJ55" s="1644">
        <f>(BJ51-BJ19-BJ20)/BJ50</f>
        <v>0.30111954439766875</v>
      </c>
      <c r="BK55" s="1773">
        <f>(BK21+BK22+BK23+BK24+BK25+BK26+BK27)/BK15</f>
        <v>0.59810947402198034</v>
      </c>
      <c r="BL55" s="1773">
        <f>(BL21+BL22+BL23+BL24+BL25+BL26+BL27)/BL15</f>
        <v>0.51245759351456144</v>
      </c>
      <c r="BM55" s="1773">
        <f>(BM21+BM22+BM23+BM24+BM25+BM26+BM27)/BM15</f>
        <v>0.13159381964363784</v>
      </c>
      <c r="BN55" s="1630">
        <f>(BN21+BN22+BN23+BN24+BN25+BN26+BN27)/BN15</f>
        <v>0.13831328504020735</v>
      </c>
      <c r="BO55" s="1630">
        <f>(BO21+BO22+BO23+BO24+BO25+BO26+BO27)/BO15</f>
        <v>0.13580091880408962</v>
      </c>
      <c r="BP55" s="1630">
        <v>0.10299999999999998</v>
      </c>
      <c r="BQ55" s="1603"/>
      <c r="BS55" s="1560"/>
      <c r="BT55" s="1560"/>
      <c r="BU55" s="1560"/>
      <c r="BV55" s="1560"/>
    </row>
    <row r="56" spans="1:74" ht="12.75" customHeight="1" x14ac:dyDescent="0.2">
      <c r="A56" s="1635"/>
      <c r="B56" s="1630" t="s">
        <v>78</v>
      </c>
      <c r="C56" s="1629">
        <v>7.7017639502451996</v>
      </c>
      <c r="D56" s="1644"/>
      <c r="E56" s="1592"/>
      <c r="F56" s="1592" t="e">
        <v>#DIV/0!</v>
      </c>
      <c r="G56" s="1592" t="e">
        <v>#DIV/0!</v>
      </c>
      <c r="H56" s="1592" t="e">
        <v>#DIV/0!</v>
      </c>
      <c r="I56" s="1592">
        <v>1.0005959142628353</v>
      </c>
      <c r="J56" s="1644">
        <v>1.0405703738554521</v>
      </c>
      <c r="K56" s="1644">
        <v>1.1366898643132073</v>
      </c>
      <c r="L56" s="1644">
        <v>0.97684688550382603</v>
      </c>
      <c r="M56" s="1644">
        <v>0.92357827476038334</v>
      </c>
      <c r="N56" s="1644">
        <v>0.95394143147836863</v>
      </c>
      <c r="O56" s="1644">
        <v>1.1203182121260893</v>
      </c>
      <c r="P56" s="1644">
        <v>1.0552784807016682</v>
      </c>
      <c r="Q56" s="1644">
        <v>0.85996048890959031</v>
      </c>
      <c r="R56" s="1644">
        <v>0.78412582604913506</v>
      </c>
      <c r="S56" s="1644">
        <v>0.92577016304460424</v>
      </c>
      <c r="T56" s="1644">
        <v>0.91245454545454541</v>
      </c>
      <c r="U56" s="1644">
        <v>0.87205107379634705</v>
      </c>
      <c r="V56" s="1644">
        <v>0.90948104233951244</v>
      </c>
      <c r="W56" s="1644">
        <v>0.95295681063122928</v>
      </c>
      <c r="X56" s="1644">
        <v>0.97631352282515071</v>
      </c>
      <c r="Y56" s="1644">
        <v>1.3023832528180355</v>
      </c>
      <c r="Z56" s="1644">
        <v>1.2489316817222913</v>
      </c>
      <c r="AA56" s="1644">
        <v>1.0778042681863116</v>
      </c>
      <c r="AB56" s="1644">
        <v>1.1182686902754357</v>
      </c>
      <c r="AC56" s="1644">
        <v>0.89358757496540053</v>
      </c>
      <c r="AD56" s="1644">
        <v>0.82411951501154734</v>
      </c>
      <c r="AE56" s="1644">
        <v>0.82356367649763929</v>
      </c>
      <c r="AF56" s="1644">
        <v>0.99133595578349853</v>
      </c>
      <c r="AG56" s="1644" t="e">
        <v>#REF!</v>
      </c>
      <c r="AH56" s="1644">
        <v>0.69350895422040215</v>
      </c>
      <c r="AI56" s="1644">
        <v>0.66254345965022621</v>
      </c>
      <c r="AJ56" s="1644">
        <v>0.73509433962264148</v>
      </c>
      <c r="AK56" s="1644">
        <v>0.73823783855726355</v>
      </c>
      <c r="AL56" s="1644">
        <v>0</v>
      </c>
      <c r="AM56" s="1644">
        <v>0</v>
      </c>
      <c r="AN56" s="1644">
        <v>0</v>
      </c>
      <c r="AO56" s="1644">
        <v>0</v>
      </c>
      <c r="AP56" s="1644">
        <v>0</v>
      </c>
      <c r="AQ56" s="1773">
        <v>0.78796893678764046</v>
      </c>
      <c r="AR56" s="1773">
        <v>0.81936881813384832</v>
      </c>
      <c r="AS56" s="1773">
        <v>0.68600000000000005</v>
      </c>
      <c r="AT56" s="1773">
        <v>0.77500000000000002</v>
      </c>
      <c r="AU56" s="1773">
        <v>0.74299999999999999</v>
      </c>
      <c r="AV56" s="1773">
        <v>0.76</v>
      </c>
      <c r="AW56" s="1773">
        <v>0.73199999999999998</v>
      </c>
      <c r="AX56" s="1633"/>
      <c r="AY56" s="1644">
        <v>1.0174443795392139</v>
      </c>
      <c r="AZ56" s="1644">
        <v>0.9810860611315847</v>
      </c>
      <c r="BA56" s="1629">
        <v>3.6358318407629153</v>
      </c>
      <c r="BB56" s="1809"/>
      <c r="BC56" s="1633"/>
      <c r="BD56" s="1644">
        <v>1.0174443795392139</v>
      </c>
      <c r="BE56" s="1644">
        <v>0.9810860611315847</v>
      </c>
      <c r="BF56" s="1644">
        <v>0.86329306880384327</v>
      </c>
      <c r="BG56" s="1644">
        <v>1.016901959505722</v>
      </c>
      <c r="BH56" s="1644">
        <v>1.0663764688121178</v>
      </c>
      <c r="BI56" s="1644">
        <v>0.86458166618025023</v>
      </c>
      <c r="BJ56" s="1644">
        <f t="shared" ref="BJ56:BO56" si="8">BJ51/BJ50</f>
        <v>0.8969875754130433</v>
      </c>
      <c r="BK56" s="1773" t="e">
        <f t="shared" si="8"/>
        <v>#REF!</v>
      </c>
      <c r="BL56" s="1773">
        <f t="shared" si="8"/>
        <v>1.0811340705820152</v>
      </c>
      <c r="BM56" s="1773">
        <f t="shared" si="8"/>
        <v>0.66735799362344184</v>
      </c>
      <c r="BN56" s="1630">
        <f t="shared" si="8"/>
        <v>0.70103675151192923</v>
      </c>
      <c r="BO56" s="1630">
        <f t="shared" si="8"/>
        <v>0.70568967862786336</v>
      </c>
      <c r="BP56" s="1630">
        <v>0.73</v>
      </c>
      <c r="BQ56" s="1603"/>
      <c r="BS56" s="1560"/>
      <c r="BT56" s="1560"/>
      <c r="BU56" s="1560"/>
      <c r="BV56" s="1560"/>
    </row>
    <row r="57" spans="1:74" ht="12.75" customHeight="1" x14ac:dyDescent="0.2">
      <c r="A57" s="1635"/>
      <c r="B57" s="1630" t="s">
        <v>178</v>
      </c>
      <c r="C57" s="1629">
        <v>-7.7017639502452049</v>
      </c>
      <c r="D57" s="1644"/>
      <c r="E57" s="1592"/>
      <c r="F57" s="1592" t="e">
        <v>#DIV/0!</v>
      </c>
      <c r="G57" s="1592" t="e">
        <v>#DIV/0!</v>
      </c>
      <c r="H57" s="1592" t="e">
        <v>#DIV/0!</v>
      </c>
      <c r="I57" s="1592">
        <v>-5.9591426283543453E-4</v>
      </c>
      <c r="J57" s="1644">
        <v>-4.0570373855452209E-2</v>
      </c>
      <c r="K57" s="1644">
        <v>-0.13668986431320723</v>
      </c>
      <c r="L57" s="1644">
        <v>2.3153114496173924E-2</v>
      </c>
      <c r="M57" s="1644">
        <v>7.6421725239616614E-2</v>
      </c>
      <c r="N57" s="1644">
        <v>4.6058568521631427E-2</v>
      </c>
      <c r="O57" s="1644">
        <v>-0.12031821212608926</v>
      </c>
      <c r="P57" s="1644">
        <v>-5.527848070166818E-2</v>
      </c>
      <c r="Q57" s="1644">
        <v>0.14003951109040974</v>
      </c>
      <c r="R57" s="1644">
        <v>0.21587417395086497</v>
      </c>
      <c r="S57" s="1644">
        <v>7.4229836955395798E-2</v>
      </c>
      <c r="T57" s="1644">
        <v>8.7545454545454551E-2</v>
      </c>
      <c r="U57" s="1644">
        <v>0.12794892620365297</v>
      </c>
      <c r="V57" s="1644">
        <v>9.0518957660487551E-2</v>
      </c>
      <c r="W57" s="1644">
        <v>4.7043189368770763E-2</v>
      </c>
      <c r="X57" s="1644">
        <v>2.3686477174849268E-2</v>
      </c>
      <c r="Y57" s="1644">
        <v>-0.30238325281803541</v>
      </c>
      <c r="Z57" s="1644">
        <v>-0.24893168172229135</v>
      </c>
      <c r="AA57" s="1644">
        <v>-7.7804268186311559E-2</v>
      </c>
      <c r="AB57" s="1644">
        <v>-0.11826869027543564</v>
      </c>
      <c r="AC57" s="1644">
        <v>0.10641242503459941</v>
      </c>
      <c r="AD57" s="1644">
        <v>0.17588048498845266</v>
      </c>
      <c r="AE57" s="1644">
        <v>0.17643632350236066</v>
      </c>
      <c r="AF57" s="1644">
        <v>8.6640442165015191E-3</v>
      </c>
      <c r="AG57" s="1644" t="e">
        <v>#REF!</v>
      </c>
      <c r="AH57" s="1644">
        <v>0.30649104577959785</v>
      </c>
      <c r="AI57" s="1644">
        <v>0.33745654034977374</v>
      </c>
      <c r="AJ57" s="1644">
        <v>0.26490566037735847</v>
      </c>
      <c r="AK57" s="1644">
        <v>0.2617621614427364</v>
      </c>
      <c r="AL57" s="1644">
        <v>1</v>
      </c>
      <c r="AM57" s="1644">
        <v>1</v>
      </c>
      <c r="AN57" s="1644">
        <v>1</v>
      </c>
      <c r="AO57" s="1644">
        <v>1</v>
      </c>
      <c r="AP57" s="1644">
        <v>1</v>
      </c>
      <c r="AQ57" s="1773">
        <v>0.21203106321235959</v>
      </c>
      <c r="AR57" s="1773">
        <v>0.18063118186615174</v>
      </c>
      <c r="AS57" s="1773">
        <v>0.31399999999999995</v>
      </c>
      <c r="AT57" s="1773">
        <v>0.22500000000000001</v>
      </c>
      <c r="AU57" s="1773">
        <v>0.25700000000000001</v>
      </c>
      <c r="AV57" s="1773">
        <v>0.24</v>
      </c>
      <c r="AW57" s="1773">
        <v>0.26800000000000002</v>
      </c>
      <c r="AX57" s="1633"/>
      <c r="AY57" s="1644">
        <v>-1.7444379539213774E-2</v>
      </c>
      <c r="AZ57" s="1644">
        <v>1.8913938868415348E-2</v>
      </c>
      <c r="BA57" s="1629">
        <v>-3.6358318407629127</v>
      </c>
      <c r="BB57" s="1809"/>
      <c r="BC57" s="1633"/>
      <c r="BD57" s="1644">
        <v>-1.7444379539213774E-2</v>
      </c>
      <c r="BE57" s="1644">
        <v>1.8913938868415348E-2</v>
      </c>
      <c r="BF57" s="1644">
        <v>0.13670693119615679</v>
      </c>
      <c r="BG57" s="1644">
        <v>-1.6901959505722017E-2</v>
      </c>
      <c r="BH57" s="1644">
        <v>-6.6376468812117853E-2</v>
      </c>
      <c r="BI57" s="1644">
        <v>0.13541833381974977</v>
      </c>
      <c r="BJ57" s="1644">
        <f t="shared" ref="BJ57:BO57" si="9">BJ52/BJ50</f>
        <v>0.10301242458695674</v>
      </c>
      <c r="BK57" s="1773" t="e">
        <f t="shared" si="9"/>
        <v>#REF!</v>
      </c>
      <c r="BL57" s="1773">
        <f t="shared" si="9"/>
        <v>-8.1134070582015244E-2</v>
      </c>
      <c r="BM57" s="1773">
        <f t="shared" si="9"/>
        <v>0.33264200637655816</v>
      </c>
      <c r="BN57" s="1630">
        <f t="shared" si="9"/>
        <v>0.29896324848807071</v>
      </c>
      <c r="BO57" s="1630">
        <f t="shared" si="9"/>
        <v>0.29431032137213659</v>
      </c>
      <c r="BP57" s="1630">
        <v>0.27</v>
      </c>
    </row>
    <row r="58" spans="1:74" ht="12.75" customHeight="1" x14ac:dyDescent="0.2">
      <c r="A58" s="1635"/>
      <c r="B58" s="1630"/>
      <c r="C58" s="1645"/>
      <c r="D58" s="1644"/>
      <c r="E58" s="1592"/>
      <c r="F58" s="1592"/>
      <c r="G58" s="1592"/>
      <c r="H58" s="1592"/>
      <c r="I58" s="1592"/>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773"/>
      <c r="AR58" s="1773"/>
      <c r="AS58" s="1773"/>
      <c r="AT58" s="1773"/>
      <c r="AU58" s="1773"/>
      <c r="AV58" s="1773"/>
      <c r="AW58" s="1773"/>
      <c r="AX58" s="1633"/>
      <c r="AY58" s="1644"/>
      <c r="AZ58" s="1644"/>
      <c r="BA58" s="1629"/>
      <c r="BB58" s="1809"/>
      <c r="BC58" s="1633"/>
      <c r="BD58" s="1773"/>
      <c r="BE58" s="1773"/>
      <c r="BF58" s="1773"/>
      <c r="BG58" s="1773"/>
      <c r="BH58" s="1773"/>
      <c r="BI58" s="1773"/>
      <c r="BJ58" s="1773"/>
      <c r="BK58" s="1773"/>
      <c r="BL58" s="1773"/>
      <c r="BM58" s="1773"/>
      <c r="BN58" s="1630"/>
      <c r="BO58" s="1630"/>
      <c r="BP58" s="1630"/>
    </row>
    <row r="59" spans="1:74" ht="12.75" customHeight="1" x14ac:dyDescent="0.2">
      <c r="A59" s="1646" t="s">
        <v>190</v>
      </c>
      <c r="B59" s="1630"/>
      <c r="C59" s="1633"/>
      <c r="D59" s="1633"/>
      <c r="E59" s="1573"/>
      <c r="F59" s="1573"/>
      <c r="G59" s="1573"/>
      <c r="H59" s="1573"/>
      <c r="I59" s="1573"/>
      <c r="J59" s="1633"/>
      <c r="K59" s="1633"/>
      <c r="L59" s="1633"/>
      <c r="M59" s="1633"/>
      <c r="N59" s="1633"/>
      <c r="O59" s="1633"/>
      <c r="P59" s="1633"/>
      <c r="Q59" s="1633"/>
      <c r="R59" s="1633"/>
      <c r="S59" s="1633"/>
      <c r="T59" s="1633"/>
      <c r="U59" s="1633"/>
      <c r="V59" s="1633"/>
      <c r="W59" s="1633"/>
      <c r="X59" s="1633"/>
      <c r="Y59" s="1633"/>
      <c r="Z59" s="1633"/>
      <c r="AA59" s="1633"/>
      <c r="AB59" s="1633"/>
      <c r="AC59" s="1633"/>
      <c r="AD59" s="1633"/>
      <c r="AE59" s="1633"/>
      <c r="AF59" s="1633"/>
      <c r="AG59" s="1633"/>
      <c r="AH59" s="1633"/>
      <c r="AI59" s="1633"/>
      <c r="AJ59" s="1633"/>
      <c r="AK59" s="1633"/>
      <c r="AL59" s="1633"/>
      <c r="AM59" s="1633"/>
      <c r="AN59" s="1633"/>
      <c r="AO59" s="1633"/>
      <c r="AP59" s="1633"/>
      <c r="AQ59" s="1633"/>
      <c r="AR59" s="1633"/>
      <c r="AS59" s="1608"/>
      <c r="AT59" s="1633"/>
      <c r="AU59" s="1608"/>
      <c r="AV59" s="1608"/>
      <c r="AW59" s="1633"/>
      <c r="AX59" s="1633"/>
      <c r="AY59" s="1633"/>
      <c r="AZ59" s="1633"/>
      <c r="BA59" s="1688"/>
      <c r="BB59" s="1688"/>
      <c r="BC59" s="1633"/>
      <c r="BD59" s="1633"/>
      <c r="BE59" s="1633"/>
      <c r="BF59" s="1633"/>
      <c r="BG59" s="1633"/>
      <c r="BH59" s="1633"/>
      <c r="BI59" s="1633"/>
      <c r="BJ59" s="1633"/>
      <c r="BK59" s="1633"/>
      <c r="BL59" s="1633"/>
      <c r="BM59" s="1633"/>
      <c r="BN59" s="1627"/>
      <c r="BO59" s="1630"/>
      <c r="BP59" s="1630"/>
    </row>
    <row r="60" spans="1:74" ht="12.75" customHeight="1" x14ac:dyDescent="0.2">
      <c r="C60" s="2483" t="s">
        <v>456</v>
      </c>
      <c r="D60" s="2484"/>
      <c r="E60" s="1565"/>
      <c r="F60" s="1566"/>
      <c r="G60" s="1566"/>
      <c r="H60" s="1878"/>
      <c r="I60" s="2348"/>
      <c r="J60" s="1659"/>
      <c r="K60" s="1659"/>
      <c r="L60" s="1888"/>
      <c r="M60" s="1889"/>
      <c r="N60" s="1659"/>
      <c r="O60" s="1659"/>
      <c r="P60" s="1888"/>
      <c r="Q60" s="1889"/>
      <c r="R60" s="1659"/>
      <c r="S60" s="1659"/>
      <c r="T60" s="1888"/>
      <c r="U60" s="1889"/>
      <c r="V60" s="1888"/>
      <c r="W60" s="1888"/>
      <c r="X60" s="1888"/>
      <c r="Y60" s="1889"/>
      <c r="Z60" s="1888"/>
      <c r="AA60" s="1888"/>
      <c r="AB60" s="1888"/>
      <c r="AC60" s="1888"/>
      <c r="AD60" s="1782"/>
      <c r="AE60" s="1888"/>
      <c r="AF60" s="1888"/>
      <c r="AG60" s="1888"/>
      <c r="AH60" s="1782"/>
      <c r="AI60" s="1888"/>
      <c r="AJ60" s="1888"/>
      <c r="AK60" s="1888"/>
      <c r="AL60" s="1782"/>
      <c r="AM60" s="1888"/>
      <c r="AN60" s="1889"/>
      <c r="AO60" s="1889"/>
      <c r="AP60" s="1889"/>
      <c r="AQ60" s="1633"/>
      <c r="AR60" s="1633"/>
      <c r="AS60" s="1608"/>
      <c r="AT60" s="1633"/>
      <c r="AU60" s="1608"/>
      <c r="AV60" s="1608"/>
      <c r="AW60" s="1633"/>
      <c r="AX60" s="1687"/>
      <c r="AY60" s="1006" t="s">
        <v>448</v>
      </c>
      <c r="AZ60" s="1006"/>
      <c r="BA60" s="1006" t="s">
        <v>441</v>
      </c>
      <c r="BB60" s="1007"/>
      <c r="BC60" s="1633"/>
      <c r="BD60" s="1663"/>
      <c r="BE60" s="1663"/>
      <c r="BF60" s="1663"/>
      <c r="BG60" s="1663"/>
      <c r="BH60" s="1663"/>
      <c r="BI60" s="1663"/>
      <c r="BJ60" s="1663"/>
      <c r="BK60" s="1663"/>
      <c r="BL60" s="1783"/>
      <c r="BM60" s="1783"/>
      <c r="BN60" s="1663"/>
      <c r="BO60" s="1630"/>
      <c r="BP60" s="1630"/>
      <c r="BQ60" s="1666"/>
    </row>
    <row r="61" spans="1:74" ht="12.75" customHeight="1" x14ac:dyDescent="0.2">
      <c r="C61" s="2478" t="s">
        <v>39</v>
      </c>
      <c r="D61" s="2479"/>
      <c r="E61" s="1568"/>
      <c r="F61" s="925" t="s">
        <v>452</v>
      </c>
      <c r="G61" s="925" t="s">
        <v>453</v>
      </c>
      <c r="H61" s="925" t="s">
        <v>454</v>
      </c>
      <c r="I61" s="2281" t="s">
        <v>455</v>
      </c>
      <c r="J61" s="1010" t="s">
        <v>399</v>
      </c>
      <c r="K61" s="1010" t="s">
        <v>398</v>
      </c>
      <c r="L61" s="1010" t="s">
        <v>397</v>
      </c>
      <c r="M61" s="1011" t="s">
        <v>395</v>
      </c>
      <c r="N61" s="1010" t="s">
        <v>373</v>
      </c>
      <c r="O61" s="1010" t="s">
        <v>374</v>
      </c>
      <c r="P61" s="1010" t="s">
        <v>375</v>
      </c>
      <c r="Q61" s="1011" t="s">
        <v>376</v>
      </c>
      <c r="R61" s="1667" t="s">
        <v>330</v>
      </c>
      <c r="S61" s="1667" t="s">
        <v>329</v>
      </c>
      <c r="T61" s="1667" t="s">
        <v>328</v>
      </c>
      <c r="U61" s="1668" t="s">
        <v>326</v>
      </c>
      <c r="V61" s="1667" t="s">
        <v>282</v>
      </c>
      <c r="W61" s="1667" t="s">
        <v>283</v>
      </c>
      <c r="X61" s="1667" t="s">
        <v>284</v>
      </c>
      <c r="Y61" s="1668" t="s">
        <v>285</v>
      </c>
      <c r="Z61" s="1667" t="s">
        <v>220</v>
      </c>
      <c r="AA61" s="1667" t="s">
        <v>221</v>
      </c>
      <c r="AB61" s="1667" t="s">
        <v>222</v>
      </c>
      <c r="AC61" s="1668" t="s">
        <v>219</v>
      </c>
      <c r="AD61" s="1669" t="s">
        <v>185</v>
      </c>
      <c r="AE61" s="1667" t="s">
        <v>186</v>
      </c>
      <c r="AF61" s="1667" t="s">
        <v>187</v>
      </c>
      <c r="AG61" s="1667">
        <v>0</v>
      </c>
      <c r="AH61" s="1669" t="s">
        <v>118</v>
      </c>
      <c r="AI61" s="1667" t="s">
        <v>117</v>
      </c>
      <c r="AJ61" s="1667" t="s">
        <v>116</v>
      </c>
      <c r="AK61" s="1667" t="s">
        <v>115</v>
      </c>
      <c r="AL61" s="1669" t="s">
        <v>83</v>
      </c>
      <c r="AM61" s="1667" t="s">
        <v>84</v>
      </c>
      <c r="AN61" s="1668" t="s">
        <v>85</v>
      </c>
      <c r="AO61" s="1668" t="s">
        <v>30</v>
      </c>
      <c r="AP61" s="1668" t="s">
        <v>30</v>
      </c>
      <c r="AQ61" s="1633"/>
      <c r="AR61" s="1633"/>
      <c r="AS61" s="1608"/>
      <c r="AT61" s="1633"/>
      <c r="AU61" s="1608"/>
      <c r="AV61" s="1608"/>
      <c r="AW61" s="1633"/>
      <c r="AX61" s="1687"/>
      <c r="AY61" s="1010" t="s">
        <v>399</v>
      </c>
      <c r="AZ61" s="1010" t="s">
        <v>373</v>
      </c>
      <c r="BA61" s="2485" t="s">
        <v>39</v>
      </c>
      <c r="BB61" s="2458"/>
      <c r="BC61" s="1633"/>
      <c r="BD61" s="1012" t="s">
        <v>438</v>
      </c>
      <c r="BE61" s="1012" t="s">
        <v>385</v>
      </c>
      <c r="BF61" s="1012" t="s">
        <v>332</v>
      </c>
      <c r="BG61" s="1669" t="s">
        <v>287</v>
      </c>
      <c r="BH61" s="1669" t="s">
        <v>224</v>
      </c>
      <c r="BI61" s="1669" t="s">
        <v>120</v>
      </c>
      <c r="BJ61" s="1669" t="s">
        <v>119</v>
      </c>
      <c r="BK61" s="1669" t="s">
        <v>43</v>
      </c>
      <c r="BL61" s="1672" t="s">
        <v>40</v>
      </c>
      <c r="BM61" s="1672" t="s">
        <v>41</v>
      </c>
      <c r="BN61" s="1672" t="s">
        <v>138</v>
      </c>
      <c r="BO61" s="1630"/>
      <c r="BP61" s="1630"/>
      <c r="BQ61" s="1666"/>
    </row>
    <row r="62" spans="1:74" ht="12.75" customHeight="1" x14ac:dyDescent="0.2">
      <c r="A62" s="1635"/>
      <c r="B62" s="969" t="s">
        <v>312</v>
      </c>
      <c r="C62" s="1638">
        <v>1208</v>
      </c>
      <c r="D62" s="1639">
        <v>7.3492729816876559E-2</v>
      </c>
      <c r="E62" s="1572"/>
      <c r="F62" s="1593"/>
      <c r="G62" s="1593"/>
      <c r="H62" s="1593"/>
      <c r="I62" s="2341">
        <v>17645</v>
      </c>
      <c r="J62" s="1785">
        <v>19215</v>
      </c>
      <c r="K62" s="1785">
        <v>18448</v>
      </c>
      <c r="L62" s="1785">
        <v>18744</v>
      </c>
      <c r="M62" s="1810">
        <v>16437</v>
      </c>
      <c r="N62" s="1785">
        <v>18808</v>
      </c>
      <c r="O62" s="1785">
        <v>19612</v>
      </c>
      <c r="P62" s="1785">
        <v>12417</v>
      </c>
      <c r="Q62" s="1810">
        <v>17090</v>
      </c>
      <c r="R62" s="1785">
        <v>19672</v>
      </c>
      <c r="S62" s="1785">
        <v>18459</v>
      </c>
      <c r="T62" s="1785">
        <v>17132</v>
      </c>
      <c r="U62" s="1810">
        <v>17578</v>
      </c>
      <c r="V62" s="1785">
        <v>15504</v>
      </c>
      <c r="W62" s="1785">
        <v>16119</v>
      </c>
      <c r="X62" s="1785">
        <v>16627</v>
      </c>
      <c r="Y62" s="1810">
        <v>17628</v>
      </c>
      <c r="Z62" s="1322">
        <v>11285</v>
      </c>
      <c r="AA62" s="1322">
        <v>10987</v>
      </c>
      <c r="AB62" s="1322">
        <v>11236</v>
      </c>
      <c r="AC62" s="1785">
        <v>11678</v>
      </c>
      <c r="AD62" s="1811">
        <v>13847</v>
      </c>
      <c r="AE62" s="1785">
        <v>13861</v>
      </c>
      <c r="AF62" s="1785">
        <v>12994</v>
      </c>
      <c r="AG62" s="1785">
        <v>6975</v>
      </c>
      <c r="AH62" s="1811">
        <v>8215</v>
      </c>
      <c r="AI62" s="1785">
        <v>9418</v>
      </c>
      <c r="AJ62" s="1785">
        <v>9547</v>
      </c>
      <c r="AK62" s="1785">
        <v>8802</v>
      </c>
      <c r="AL62" s="1812">
        <v>7648</v>
      </c>
      <c r="AM62" s="1787">
        <v>7035</v>
      </c>
      <c r="AN62" s="1813">
        <v>8214</v>
      </c>
      <c r="AO62" s="1810">
        <v>8390</v>
      </c>
      <c r="AP62" s="1786">
        <v>29584</v>
      </c>
      <c r="AQ62" s="1633"/>
      <c r="AR62" s="1633"/>
      <c r="AS62" s="1608"/>
      <c r="AT62" s="1633"/>
      <c r="AU62" s="1608"/>
      <c r="AV62" s="1608"/>
      <c r="AW62" s="1633"/>
      <c r="AX62" s="1687"/>
      <c r="AY62" s="1796">
        <v>72844</v>
      </c>
      <c r="AZ62" s="1709">
        <v>67927</v>
      </c>
      <c r="BA62" s="1814">
        <v>4917</v>
      </c>
      <c r="BB62" s="1618">
        <v>7.2386532601174794E-2</v>
      </c>
      <c r="BC62" s="1633"/>
      <c r="BD62" s="1793">
        <v>72844</v>
      </c>
      <c r="BE62" s="1793">
        <v>67927</v>
      </c>
      <c r="BF62" s="1793">
        <v>72841</v>
      </c>
      <c r="BG62" s="1793">
        <v>65878</v>
      </c>
      <c r="BH62" s="1793">
        <v>45186</v>
      </c>
      <c r="BI62" s="1934">
        <v>53682</v>
      </c>
      <c r="BJ62" s="1054">
        <v>39936</v>
      </c>
      <c r="BK62" s="1054">
        <v>46210</v>
      </c>
      <c r="BL62" s="1054">
        <v>43776</v>
      </c>
      <c r="BM62" s="1794">
        <v>45773</v>
      </c>
      <c r="BN62" s="1753">
        <v>41570</v>
      </c>
      <c r="BO62" s="1630"/>
      <c r="BP62" s="1630"/>
      <c r="BQ62" s="1666"/>
      <c r="BS62" s="2266"/>
      <c r="BT62" s="2267"/>
    </row>
    <row r="63" spans="1:74" ht="12.75" customHeight="1" x14ac:dyDescent="0.2">
      <c r="A63" s="1635"/>
      <c r="B63" s="969" t="s">
        <v>62</v>
      </c>
      <c r="C63" s="1638">
        <v>-12256</v>
      </c>
      <c r="D63" s="1639">
        <v>-0.68807545474960696</v>
      </c>
      <c r="E63" s="1572"/>
      <c r="F63" s="1593"/>
      <c r="G63" s="1593"/>
      <c r="H63" s="1593"/>
      <c r="I63" s="2341">
        <v>5556</v>
      </c>
      <c r="J63" s="1785">
        <v>3373</v>
      </c>
      <c r="K63" s="1785">
        <v>5466</v>
      </c>
      <c r="L63" s="1785">
        <v>11960</v>
      </c>
      <c r="M63" s="1810">
        <v>17812</v>
      </c>
      <c r="N63" s="1785">
        <v>12265</v>
      </c>
      <c r="O63" s="1785">
        <v>6097</v>
      </c>
      <c r="P63" s="1785">
        <v>10224</v>
      </c>
      <c r="Q63" s="1810">
        <v>27776</v>
      </c>
      <c r="R63" s="1785">
        <v>22644</v>
      </c>
      <c r="S63" s="1785">
        <v>12445</v>
      </c>
      <c r="T63" s="1785">
        <v>14009</v>
      </c>
      <c r="U63" s="1810">
        <v>12951</v>
      </c>
      <c r="V63" s="1785">
        <v>9745</v>
      </c>
      <c r="W63" s="1785">
        <v>3573</v>
      </c>
      <c r="X63" s="1785">
        <v>6814</v>
      </c>
      <c r="Y63" s="1810">
        <v>3882</v>
      </c>
      <c r="Z63" s="1322">
        <v>3882</v>
      </c>
      <c r="AA63" s="1322">
        <v>5322</v>
      </c>
      <c r="AB63" s="1322">
        <v>4626</v>
      </c>
      <c r="AC63" s="1785">
        <v>11414</v>
      </c>
      <c r="AD63" s="1811">
        <v>10987</v>
      </c>
      <c r="AE63" s="1785">
        <v>15691</v>
      </c>
      <c r="AF63" s="1785">
        <v>6165</v>
      </c>
      <c r="AG63" s="1785">
        <v>31749</v>
      </c>
      <c r="AH63" s="1811">
        <v>23306</v>
      </c>
      <c r="AI63" s="1785">
        <v>46294</v>
      </c>
      <c r="AJ63" s="1785">
        <v>16811</v>
      </c>
      <c r="AK63" s="1785">
        <v>19402</v>
      </c>
      <c r="AL63" s="1812">
        <v>15250</v>
      </c>
      <c r="AM63" s="1785">
        <v>4569</v>
      </c>
      <c r="AN63" s="1810">
        <v>12638</v>
      </c>
      <c r="AO63" s="1810">
        <v>17564</v>
      </c>
      <c r="AP63" s="1786">
        <v>0</v>
      </c>
      <c r="AQ63" s="1633">
        <v>0</v>
      </c>
      <c r="AR63" s="1633">
        <v>0</v>
      </c>
      <c r="AS63" s="1608">
        <v>0</v>
      </c>
      <c r="AT63" s="1633">
        <v>0</v>
      </c>
      <c r="AU63" s="1608">
        <v>0</v>
      </c>
      <c r="AV63" s="1608">
        <v>0</v>
      </c>
      <c r="AW63" s="1633">
        <v>0</v>
      </c>
      <c r="AX63" s="1687"/>
      <c r="AY63" s="1796">
        <v>38611</v>
      </c>
      <c r="AZ63" s="1709">
        <v>56362</v>
      </c>
      <c r="BA63" s="1816">
        <v>-17751</v>
      </c>
      <c r="BB63" s="1618">
        <v>-0.31494624037472058</v>
      </c>
      <c r="BC63" s="1633"/>
      <c r="BD63" s="1793">
        <v>38611</v>
      </c>
      <c r="BE63" s="1793">
        <v>56362</v>
      </c>
      <c r="BF63" s="1793">
        <v>62049</v>
      </c>
      <c r="BG63" s="1793">
        <v>24014</v>
      </c>
      <c r="BH63" s="1793">
        <v>25244</v>
      </c>
      <c r="BI63" s="1935">
        <v>42700</v>
      </c>
      <c r="BJ63" s="1054">
        <v>37147</v>
      </c>
      <c r="BK63" s="1054">
        <v>12860</v>
      </c>
      <c r="BL63" s="1054">
        <v>34024</v>
      </c>
      <c r="BM63" s="1799">
        <f>143025-1549-12713</f>
        <v>128763</v>
      </c>
      <c r="BN63" s="1715">
        <f>109202-5303-4636</f>
        <v>99263</v>
      </c>
      <c r="BO63" s="1630"/>
      <c r="BP63" s="1630"/>
      <c r="BQ63" s="1666"/>
      <c r="BS63" s="2266"/>
      <c r="BT63" s="2267"/>
    </row>
    <row r="64" spans="1:74" ht="12.75" customHeight="1" x14ac:dyDescent="0.2">
      <c r="A64" s="1635"/>
      <c r="B64" s="969" t="s">
        <v>203</v>
      </c>
      <c r="C64" s="1638">
        <v>7259</v>
      </c>
      <c r="D64" s="1640" t="s">
        <v>42</v>
      </c>
      <c r="E64" s="1572"/>
      <c r="F64" s="1593"/>
      <c r="G64" s="1593"/>
      <c r="H64" s="1593"/>
      <c r="I64" s="2341">
        <v>9164</v>
      </c>
      <c r="J64" s="1785">
        <v>9385</v>
      </c>
      <c r="K64" s="1785">
        <v>8863</v>
      </c>
      <c r="L64" s="1785">
        <v>11081</v>
      </c>
      <c r="M64" s="1810">
        <v>1905</v>
      </c>
      <c r="N64" s="1785">
        <v>6378</v>
      </c>
      <c r="O64" s="1785">
        <v>4674</v>
      </c>
      <c r="P64" s="1785">
        <v>6474</v>
      </c>
      <c r="Q64" s="1810">
        <v>2520</v>
      </c>
      <c r="R64" s="1785">
        <v>5776</v>
      </c>
      <c r="S64" s="1785">
        <v>3243</v>
      </c>
      <c r="T64" s="1785">
        <v>1601</v>
      </c>
      <c r="U64" s="1810">
        <v>6603</v>
      </c>
      <c r="V64" s="1785">
        <v>6074</v>
      </c>
      <c r="W64" s="1785">
        <v>5988</v>
      </c>
      <c r="X64" s="1785">
        <v>5624</v>
      </c>
      <c r="Y64" s="1810">
        <v>3598</v>
      </c>
      <c r="Z64" s="1322">
        <v>1320</v>
      </c>
      <c r="AA64" s="1322">
        <v>837</v>
      </c>
      <c r="AB64" s="1322">
        <v>1962</v>
      </c>
      <c r="AC64" s="1785">
        <v>2960</v>
      </c>
      <c r="AD64" s="1811">
        <v>2860</v>
      </c>
      <c r="AE64" s="1785">
        <v>2925</v>
      </c>
      <c r="AF64" s="1785">
        <v>740</v>
      </c>
      <c r="AG64" s="1785">
        <v>14504</v>
      </c>
      <c r="AH64" s="1811">
        <v>1297</v>
      </c>
      <c r="AI64" s="1785">
        <v>1601</v>
      </c>
      <c r="AJ64" s="1785">
        <v>1211</v>
      </c>
      <c r="AK64" s="1785">
        <v>1444</v>
      </c>
      <c r="AL64" s="1812">
        <v>2473</v>
      </c>
      <c r="AM64" s="1785">
        <v>1215</v>
      </c>
      <c r="AN64" s="1810">
        <v>2659</v>
      </c>
      <c r="AO64" s="1810">
        <v>8562</v>
      </c>
      <c r="AP64" s="1786"/>
      <c r="AQ64" s="1633"/>
      <c r="AR64" s="1633"/>
      <c r="AS64" s="1608"/>
      <c r="AT64" s="1633"/>
      <c r="AU64" s="1608"/>
      <c r="AV64" s="1608"/>
      <c r="AW64" s="1633"/>
      <c r="AX64" s="1687"/>
      <c r="AY64" s="1796">
        <v>31234</v>
      </c>
      <c r="AZ64" s="1709">
        <v>20046</v>
      </c>
      <c r="BA64" s="1818">
        <v>11188</v>
      </c>
      <c r="BB64" s="1618">
        <v>0.5581163324353986</v>
      </c>
      <c r="BC64" s="1633"/>
      <c r="BD64" s="1793">
        <v>31234</v>
      </c>
      <c r="BE64" s="1793">
        <v>20046</v>
      </c>
      <c r="BF64" s="1793">
        <v>17223</v>
      </c>
      <c r="BG64" s="1793">
        <v>21284</v>
      </c>
      <c r="BH64" s="1793">
        <v>7079</v>
      </c>
      <c r="BI64" s="1935">
        <v>9588</v>
      </c>
      <c r="BJ64" s="1054">
        <v>21890</v>
      </c>
      <c r="BK64" s="1054">
        <v>15171</v>
      </c>
      <c r="BL64" s="1054">
        <v>11589</v>
      </c>
      <c r="BM64" s="1819">
        <f>7195+5518</f>
        <v>12713</v>
      </c>
      <c r="BN64" s="1715">
        <v>4636</v>
      </c>
      <c r="BO64" s="1630"/>
      <c r="BP64" s="1630"/>
      <c r="BQ64" s="1666"/>
      <c r="BS64" s="2266"/>
      <c r="BT64" s="2267"/>
    </row>
    <row r="65" spans="1:72" ht="12.75" customHeight="1" x14ac:dyDescent="0.2">
      <c r="A65" s="1635"/>
      <c r="B65" s="969" t="s">
        <v>63</v>
      </c>
      <c r="C65" s="1638">
        <v>2176</v>
      </c>
      <c r="D65" s="1639">
        <v>0.12295174595999547</v>
      </c>
      <c r="E65" s="1572"/>
      <c r="F65" s="1593"/>
      <c r="G65" s="2340"/>
      <c r="H65" s="1593"/>
      <c r="I65" s="2341">
        <v>19874</v>
      </c>
      <c r="J65" s="1785">
        <v>22900</v>
      </c>
      <c r="K65" s="1643">
        <v>18256</v>
      </c>
      <c r="L65" s="1785">
        <v>13950</v>
      </c>
      <c r="M65" s="1810">
        <v>17698</v>
      </c>
      <c r="N65" s="1785">
        <v>18220</v>
      </c>
      <c r="O65" s="1643">
        <v>12524</v>
      </c>
      <c r="P65" s="1785">
        <v>10773</v>
      </c>
      <c r="Q65" s="1810">
        <v>13453</v>
      </c>
      <c r="R65" s="1785">
        <v>22635</v>
      </c>
      <c r="S65" s="1643">
        <v>13357</v>
      </c>
      <c r="T65" s="1785">
        <v>10547</v>
      </c>
      <c r="U65" s="1810">
        <v>14502</v>
      </c>
      <c r="V65" s="1785">
        <v>13382</v>
      </c>
      <c r="W65" s="1643">
        <v>11455</v>
      </c>
      <c r="X65" s="1785">
        <v>9853</v>
      </c>
      <c r="Y65" s="1810">
        <v>5436</v>
      </c>
      <c r="Z65" s="1322">
        <v>1678</v>
      </c>
      <c r="AA65" s="1322">
        <v>0</v>
      </c>
      <c r="AB65" s="1322">
        <v>0</v>
      </c>
      <c r="AC65" s="1643">
        <v>0</v>
      </c>
      <c r="AD65" s="1638">
        <v>0</v>
      </c>
      <c r="AE65" s="1643">
        <v>0</v>
      </c>
      <c r="AF65" s="1643">
        <v>0</v>
      </c>
      <c r="AG65" s="1785">
        <v>-262</v>
      </c>
      <c r="AH65" s="1811">
        <v>-115</v>
      </c>
      <c r="AI65" s="1785">
        <v>-132</v>
      </c>
      <c r="AJ65" s="1785">
        <v>-255</v>
      </c>
      <c r="AK65" s="1785">
        <v>-45</v>
      </c>
      <c r="AL65" s="1812">
        <v>-388</v>
      </c>
      <c r="AM65" s="1785">
        <v>-274</v>
      </c>
      <c r="AN65" s="1810">
        <v>-218</v>
      </c>
      <c r="AO65" s="1810">
        <v>-343</v>
      </c>
      <c r="AP65" s="1786">
        <v>5363</v>
      </c>
      <c r="AQ65" s="1633"/>
      <c r="AR65" s="1633"/>
      <c r="AS65" s="1608"/>
      <c r="AT65" s="1633"/>
      <c r="AU65" s="1608"/>
      <c r="AV65" s="1608"/>
      <c r="AW65" s="1633"/>
      <c r="AX65" s="1687"/>
      <c r="AY65" s="1796">
        <v>72804</v>
      </c>
      <c r="AZ65" s="1643">
        <v>54970</v>
      </c>
      <c r="BA65" s="1818">
        <v>17834</v>
      </c>
      <c r="BB65" s="1618">
        <v>0.32443150809532473</v>
      </c>
      <c r="BC65" s="1633"/>
      <c r="BD65" s="1793">
        <v>72804</v>
      </c>
      <c r="BE65" s="1793">
        <v>54970</v>
      </c>
      <c r="BF65" s="1793">
        <v>61041</v>
      </c>
      <c r="BG65" s="1793">
        <v>40126</v>
      </c>
      <c r="BH65" s="1793">
        <v>1678</v>
      </c>
      <c r="BI65" s="1935">
        <v>0</v>
      </c>
      <c r="BJ65" s="1054">
        <v>0</v>
      </c>
      <c r="BK65" s="1054">
        <v>0</v>
      </c>
      <c r="BL65" s="1054">
        <v>0</v>
      </c>
      <c r="BM65" s="1799">
        <v>-524</v>
      </c>
      <c r="BN65" s="1715">
        <v>4647</v>
      </c>
      <c r="BO65" s="1630"/>
      <c r="BP65" s="1630"/>
      <c r="BQ65" s="1666"/>
      <c r="BS65" s="2266"/>
      <c r="BT65" s="2267"/>
    </row>
    <row r="66" spans="1:72" ht="12.75" customHeight="1" x14ac:dyDescent="0.2">
      <c r="A66" s="1635"/>
      <c r="B66" s="969" t="s">
        <v>64</v>
      </c>
      <c r="C66" s="1638">
        <v>-75</v>
      </c>
      <c r="D66" s="1639">
        <v>-0.53956834532374098</v>
      </c>
      <c r="E66" s="1572"/>
      <c r="F66" s="1593"/>
      <c r="G66" s="2342"/>
      <c r="H66" s="1594"/>
      <c r="I66" s="2341">
        <v>64</v>
      </c>
      <c r="J66" s="1785">
        <v>66</v>
      </c>
      <c r="K66" s="1820">
        <v>142</v>
      </c>
      <c r="L66" s="1788">
        <v>190</v>
      </c>
      <c r="M66" s="1810">
        <v>139</v>
      </c>
      <c r="N66" s="1785">
        <v>194</v>
      </c>
      <c r="O66" s="1820">
        <v>217</v>
      </c>
      <c r="P66" s="1788">
        <v>281</v>
      </c>
      <c r="Q66" s="1810">
        <v>466</v>
      </c>
      <c r="R66" s="1785">
        <v>346</v>
      </c>
      <c r="S66" s="1820">
        <v>294</v>
      </c>
      <c r="T66" s="1788">
        <v>380</v>
      </c>
      <c r="U66" s="1810">
        <v>473</v>
      </c>
      <c r="V66" s="1785">
        <v>418</v>
      </c>
      <c r="W66" s="1820">
        <v>454</v>
      </c>
      <c r="X66" s="1788">
        <v>398</v>
      </c>
      <c r="Y66" s="1810">
        <v>340</v>
      </c>
      <c r="Z66" s="1322">
        <v>25</v>
      </c>
      <c r="AA66" s="1322">
        <v>13</v>
      </c>
      <c r="AB66" s="1322">
        <v>15</v>
      </c>
      <c r="AC66" s="1785">
        <v>7</v>
      </c>
      <c r="AD66" s="1811">
        <v>14</v>
      </c>
      <c r="AE66" s="1820">
        <v>3</v>
      </c>
      <c r="AF66" s="1820">
        <v>5</v>
      </c>
      <c r="AG66" s="1785">
        <v>46</v>
      </c>
      <c r="AH66" s="1811">
        <v>102</v>
      </c>
      <c r="AI66" s="1821">
        <v>0</v>
      </c>
      <c r="AJ66" s="1821">
        <v>0</v>
      </c>
      <c r="AK66" s="1785">
        <v>37</v>
      </c>
      <c r="AL66" s="1812">
        <v>50</v>
      </c>
      <c r="AM66" s="1785">
        <v>93</v>
      </c>
      <c r="AN66" s="1810">
        <v>168</v>
      </c>
      <c r="AO66" s="1810">
        <v>178</v>
      </c>
      <c r="AP66" s="1786">
        <v>-3063</v>
      </c>
      <c r="AQ66" s="1633">
        <v>42952</v>
      </c>
      <c r="AR66" s="1633">
        <v>39210</v>
      </c>
      <c r="AS66" s="1608">
        <v>62549</v>
      </c>
      <c r="AT66" s="1633">
        <v>57382</v>
      </c>
      <c r="AU66" s="1608">
        <v>48897</v>
      </c>
      <c r="AV66" s="1608">
        <v>38533</v>
      </c>
      <c r="AW66" s="1633">
        <v>42750</v>
      </c>
      <c r="AX66" s="1687"/>
      <c r="AY66" s="1796">
        <v>537</v>
      </c>
      <c r="AZ66" s="1709">
        <v>1158</v>
      </c>
      <c r="BA66" s="1818">
        <v>-621</v>
      </c>
      <c r="BB66" s="1618">
        <v>-0.53626943005181349</v>
      </c>
      <c r="BC66" s="1633"/>
      <c r="BD66" s="1793">
        <v>537</v>
      </c>
      <c r="BE66" s="1793">
        <v>1158</v>
      </c>
      <c r="BF66" s="1793">
        <v>1493</v>
      </c>
      <c r="BG66" s="1793">
        <v>1610</v>
      </c>
      <c r="BH66" s="1793">
        <v>60</v>
      </c>
      <c r="BI66" s="1935">
        <v>27</v>
      </c>
      <c r="BJ66" s="1054">
        <v>-1652</v>
      </c>
      <c r="BK66" s="1054">
        <v>368</v>
      </c>
      <c r="BL66" s="1054">
        <v>1120</v>
      </c>
      <c r="BM66" s="1799">
        <v>543</v>
      </c>
      <c r="BN66" s="1715">
        <v>236</v>
      </c>
      <c r="BO66" s="1630"/>
      <c r="BP66" s="1630"/>
      <c r="BQ66" s="1666"/>
      <c r="BS66" s="2266"/>
      <c r="BT66" s="2267"/>
    </row>
    <row r="67" spans="1:72" ht="12.75" customHeight="1" x14ac:dyDescent="0.2">
      <c r="A67" s="1636"/>
      <c r="B67" s="969" t="s">
        <v>65</v>
      </c>
      <c r="C67" s="1638">
        <v>612</v>
      </c>
      <c r="D67" s="1640">
        <v>0.78061224489795922</v>
      </c>
      <c r="E67" s="1596"/>
      <c r="F67" s="1593"/>
      <c r="G67" s="2342"/>
      <c r="H67" s="1575"/>
      <c r="I67" s="2343">
        <v>1396</v>
      </c>
      <c r="J67" s="1785">
        <v>323</v>
      </c>
      <c r="K67" s="1820">
        <v>267</v>
      </c>
      <c r="L67" s="1694">
        <v>7</v>
      </c>
      <c r="M67" s="1827">
        <v>784</v>
      </c>
      <c r="N67" s="1785">
        <v>650</v>
      </c>
      <c r="O67" s="1820">
        <v>369</v>
      </c>
      <c r="P67" s="1694">
        <v>534</v>
      </c>
      <c r="Q67" s="1827">
        <v>956</v>
      </c>
      <c r="R67" s="1785">
        <v>200</v>
      </c>
      <c r="S67" s="1820">
        <v>471</v>
      </c>
      <c r="T67" s="1694">
        <v>331</v>
      </c>
      <c r="U67" s="1827">
        <v>836</v>
      </c>
      <c r="V67" s="1785">
        <v>83</v>
      </c>
      <c r="W67" s="1820">
        <v>36</v>
      </c>
      <c r="X67" s="1694">
        <v>158</v>
      </c>
      <c r="Y67" s="1827">
        <v>166</v>
      </c>
      <c r="Z67" s="1322">
        <v>297</v>
      </c>
      <c r="AA67" s="1322">
        <v>38</v>
      </c>
      <c r="AB67" s="1378">
        <v>-49</v>
      </c>
      <c r="AC67" s="1803">
        <v>-47</v>
      </c>
      <c r="AD67" s="1811">
        <v>4</v>
      </c>
      <c r="AE67" s="1820">
        <v>138</v>
      </c>
      <c r="AF67" s="1823">
        <v>179</v>
      </c>
      <c r="AG67" s="1803">
        <v>45</v>
      </c>
      <c r="AH67" s="1811">
        <v>1</v>
      </c>
      <c r="AI67" s="1821">
        <v>0</v>
      </c>
      <c r="AJ67" s="1824">
        <v>0</v>
      </c>
      <c r="AK67" s="1803">
        <v>414</v>
      </c>
      <c r="AL67" s="1825">
        <v>0</v>
      </c>
      <c r="AM67" s="1803">
        <v>1</v>
      </c>
      <c r="AN67" s="1826">
        <v>0</v>
      </c>
      <c r="AO67" s="1827">
        <v>1</v>
      </c>
      <c r="AP67" s="1804">
        <v>60</v>
      </c>
      <c r="AQ67" s="1662"/>
      <c r="AR67" s="1662"/>
      <c r="AS67" s="1662"/>
      <c r="AT67" s="1662"/>
      <c r="AU67" s="1662"/>
      <c r="AV67" s="1662"/>
      <c r="AW67" s="1662"/>
      <c r="AX67" s="1687"/>
      <c r="AY67" s="1796">
        <v>1381</v>
      </c>
      <c r="AZ67" s="1709">
        <v>2509</v>
      </c>
      <c r="BA67" s="1818">
        <v>-1128</v>
      </c>
      <c r="BB67" s="1618">
        <v>-0.44958150657632523</v>
      </c>
      <c r="BC67" s="1635"/>
      <c r="BD67" s="1793">
        <v>1381</v>
      </c>
      <c r="BE67" s="1793">
        <v>2509</v>
      </c>
      <c r="BF67" s="1793">
        <v>1838</v>
      </c>
      <c r="BG67" s="1793">
        <v>443</v>
      </c>
      <c r="BH67" s="1793">
        <v>239</v>
      </c>
      <c r="BI67" s="1936">
        <v>222</v>
      </c>
      <c r="BJ67" s="1054">
        <v>308</v>
      </c>
      <c r="BK67" s="1054">
        <v>185</v>
      </c>
      <c r="BL67" s="1054">
        <v>279</v>
      </c>
      <c r="BM67" s="1801">
        <v>294</v>
      </c>
      <c r="BN67" s="1802">
        <v>118</v>
      </c>
      <c r="BO67" s="1630"/>
      <c r="BP67" s="1630"/>
      <c r="BQ67" s="1666"/>
      <c r="BS67" s="2266"/>
      <c r="BT67" s="2267"/>
    </row>
    <row r="68" spans="1:72" ht="12.75" customHeight="1" x14ac:dyDescent="0.2">
      <c r="A68" s="1636"/>
      <c r="B68" s="969"/>
      <c r="C68" s="1647">
        <v>-1076</v>
      </c>
      <c r="D68" s="1648">
        <v>-1.964399817434961E-2</v>
      </c>
      <c r="E68" s="1597"/>
      <c r="F68" s="1598">
        <v>0</v>
      </c>
      <c r="G68" s="1598">
        <v>0</v>
      </c>
      <c r="H68" s="1598">
        <v>0</v>
      </c>
      <c r="I68" s="2344">
        <v>53699</v>
      </c>
      <c r="J68" s="1829">
        <v>55262</v>
      </c>
      <c r="K68" s="1829">
        <v>51442</v>
      </c>
      <c r="L68" s="1829">
        <v>55932</v>
      </c>
      <c r="M68" s="1830">
        <v>54775</v>
      </c>
      <c r="N68" s="1829">
        <v>56515</v>
      </c>
      <c r="O68" s="1829">
        <v>43493</v>
      </c>
      <c r="P68" s="1829">
        <v>40703</v>
      </c>
      <c r="Q68" s="1830">
        <v>62261</v>
      </c>
      <c r="R68" s="1829">
        <v>71273</v>
      </c>
      <c r="S68" s="1829">
        <v>48269</v>
      </c>
      <c r="T68" s="1829">
        <v>44000</v>
      </c>
      <c r="U68" s="1830">
        <v>52943</v>
      </c>
      <c r="V68" s="1829">
        <v>45206</v>
      </c>
      <c r="W68" s="1829">
        <v>37625</v>
      </c>
      <c r="X68" s="1829">
        <v>39474</v>
      </c>
      <c r="Y68" s="1830">
        <v>31050</v>
      </c>
      <c r="Z68" s="1335">
        <v>18487</v>
      </c>
      <c r="AA68" s="1335">
        <v>17197</v>
      </c>
      <c r="AB68" s="1335">
        <v>17790</v>
      </c>
      <c r="AC68" s="1829">
        <v>26012</v>
      </c>
      <c r="AD68" s="1831">
        <v>27712</v>
      </c>
      <c r="AE68" s="1829">
        <v>32618</v>
      </c>
      <c r="AF68" s="1829">
        <v>20083</v>
      </c>
      <c r="AG68" s="1829">
        <v>53057</v>
      </c>
      <c r="AH68" s="1831">
        <v>32806</v>
      </c>
      <c r="AI68" s="1829">
        <v>57181</v>
      </c>
      <c r="AJ68" s="1829">
        <v>27314</v>
      </c>
      <c r="AK68" s="1829">
        <v>30054</v>
      </c>
      <c r="AL68" s="1831">
        <v>25033</v>
      </c>
      <c r="AM68" s="1829">
        <v>12639</v>
      </c>
      <c r="AN68" s="1830">
        <v>23461</v>
      </c>
      <c r="AO68" s="1830">
        <v>34352</v>
      </c>
      <c r="AP68" s="1830">
        <v>31944</v>
      </c>
      <c r="AQ68" s="1606"/>
      <c r="AR68" s="1606"/>
      <c r="AS68" s="1606"/>
      <c r="AT68" s="1606"/>
      <c r="AU68" s="1606"/>
      <c r="AV68" s="1606"/>
      <c r="AW68" s="1606"/>
      <c r="AX68" s="1832"/>
      <c r="AY68" s="1829">
        <v>217411</v>
      </c>
      <c r="AZ68" s="1829">
        <v>202972</v>
      </c>
      <c r="BA68" s="1833">
        <v>14439</v>
      </c>
      <c r="BB68" s="1834">
        <v>7.1137890940622353E-2</v>
      </c>
      <c r="BD68" s="2027">
        <v>217411</v>
      </c>
      <c r="BE68" s="1835">
        <v>202972</v>
      </c>
      <c r="BF68" s="1835">
        <v>216485</v>
      </c>
      <c r="BG68" s="1835">
        <v>153355</v>
      </c>
      <c r="BH68" s="1835">
        <v>79486</v>
      </c>
      <c r="BI68" s="1835">
        <v>106219</v>
      </c>
      <c r="BJ68" s="1835">
        <f t="shared" ref="BJ68:BN68" si="10">SUM(BJ62:BJ67)</f>
        <v>97629</v>
      </c>
      <c r="BK68" s="1836">
        <f t="shared" si="10"/>
        <v>74794</v>
      </c>
      <c r="BL68" s="1835">
        <f t="shared" si="10"/>
        <v>90788</v>
      </c>
      <c r="BM68" s="1836">
        <f t="shared" si="10"/>
        <v>187562</v>
      </c>
      <c r="BN68" s="1836">
        <f t="shared" si="10"/>
        <v>150470</v>
      </c>
      <c r="BO68" s="1630"/>
      <c r="BP68" s="1630"/>
      <c r="BS68" s="2266"/>
      <c r="BT68" s="2267"/>
    </row>
    <row r="69" spans="1:72" ht="12.75" customHeight="1" x14ac:dyDescent="0.2">
      <c r="A69" s="1636"/>
      <c r="B69" s="969"/>
      <c r="C69" s="1641"/>
      <c r="D69" s="1649"/>
      <c r="E69" s="1597"/>
      <c r="F69" s="1599"/>
      <c r="G69" s="1598"/>
      <c r="H69" s="2345"/>
      <c r="I69" s="2339"/>
      <c r="J69" s="1838"/>
      <c r="K69" s="1829"/>
      <c r="L69" s="1837"/>
      <c r="M69" s="1804"/>
      <c r="N69" s="1838"/>
      <c r="O69" s="1829"/>
      <c r="P69" s="1837"/>
      <c r="Q69" s="1804"/>
      <c r="R69" s="1838"/>
      <c r="S69" s="1829"/>
      <c r="T69" s="1837"/>
      <c r="U69" s="1804"/>
      <c r="V69" s="1838"/>
      <c r="W69" s="1829"/>
      <c r="X69" s="1837"/>
      <c r="Y69" s="1804"/>
      <c r="Z69" s="1294"/>
      <c r="AA69" s="1335"/>
      <c r="AB69" s="1302"/>
      <c r="AC69" s="1837"/>
      <c r="AD69" s="1839"/>
      <c r="AE69" s="1837"/>
      <c r="AF69" s="1837"/>
      <c r="AG69" s="1837"/>
      <c r="AH69" s="1839"/>
      <c r="AI69" s="1837"/>
      <c r="AJ69" s="1837"/>
      <c r="AK69" s="1837"/>
      <c r="AL69" s="1838"/>
      <c r="AM69" s="1838"/>
      <c r="AN69" s="1838"/>
      <c r="AO69" s="1838"/>
      <c r="AP69" s="1838"/>
      <c r="AQ69" s="1606"/>
      <c r="AR69" s="1606"/>
      <c r="AS69" s="1606"/>
      <c r="AT69" s="1606"/>
      <c r="AU69" s="1606"/>
      <c r="AV69" s="1606"/>
      <c r="AW69" s="1606"/>
      <c r="AX69" s="1832"/>
      <c r="AY69" s="1837"/>
      <c r="AZ69" s="1837"/>
      <c r="BA69" s="1937"/>
      <c r="BB69" s="1841"/>
      <c r="BD69" s="1842"/>
      <c r="BE69" s="1842"/>
      <c r="BF69" s="1842"/>
      <c r="BG69" s="1842"/>
      <c r="BH69" s="1842"/>
      <c r="BI69" s="1842"/>
      <c r="BJ69" s="1842"/>
      <c r="BK69" s="1843"/>
      <c r="BL69" s="1842"/>
      <c r="BM69" s="1843"/>
      <c r="BN69" s="1844"/>
      <c r="BO69" s="1630"/>
      <c r="BP69" s="1630"/>
    </row>
    <row r="70" spans="1:72" ht="12.75" customHeight="1" x14ac:dyDescent="0.2">
      <c r="A70" s="1608"/>
      <c r="B70" s="969" t="s">
        <v>412</v>
      </c>
      <c r="C70" s="1647">
        <v>240</v>
      </c>
      <c r="D70" s="1648">
        <v>0.18209408194233687</v>
      </c>
      <c r="E70" s="1883"/>
      <c r="F70" s="1884"/>
      <c r="G70" s="1884"/>
      <c r="H70" s="1884"/>
      <c r="I70" s="2388">
        <v>-1078</v>
      </c>
      <c r="J70" s="1938">
        <v>-905</v>
      </c>
      <c r="K70" s="1938">
        <v>-822</v>
      </c>
      <c r="L70" s="1938">
        <v>-905</v>
      </c>
      <c r="M70" s="1939">
        <v>-1318</v>
      </c>
      <c r="N70" s="1938">
        <v>-1159</v>
      </c>
      <c r="O70" s="1938">
        <v>-1037</v>
      </c>
      <c r="P70" s="1938">
        <v>-1076</v>
      </c>
      <c r="Q70" s="1939">
        <v>-782</v>
      </c>
      <c r="R70" s="1938">
        <v>-717</v>
      </c>
      <c r="S70" s="1938">
        <v>-371</v>
      </c>
      <c r="T70" s="1938">
        <v>-922</v>
      </c>
      <c r="U70" s="1939">
        <v>-956</v>
      </c>
      <c r="V70" s="1938">
        <v>-541</v>
      </c>
      <c r="W70" s="1938">
        <v>-674</v>
      </c>
      <c r="X70" s="1938">
        <v>-320</v>
      </c>
      <c r="Y70" s="1939">
        <v>-1245</v>
      </c>
      <c r="Z70" s="1938">
        <v>-1385</v>
      </c>
      <c r="AA70" s="1938">
        <v>-1519</v>
      </c>
      <c r="AB70" s="1938">
        <v>-1327</v>
      </c>
      <c r="AC70" s="1939">
        <v>-1714</v>
      </c>
      <c r="AD70" s="1940">
        <v>-1639</v>
      </c>
      <c r="AE70" s="1941">
        <v>-1628</v>
      </c>
      <c r="AF70" s="1941">
        <v>-1323</v>
      </c>
      <c r="AG70" s="1939">
        <v>-6918</v>
      </c>
      <c r="AH70" s="1942" t="s">
        <v>177</v>
      </c>
      <c r="AI70" s="1943" t="s">
        <v>177</v>
      </c>
      <c r="AJ70" s="1944" t="s">
        <v>177</v>
      </c>
      <c r="AK70" s="1944" t="s">
        <v>177</v>
      </c>
      <c r="AL70" s="1945"/>
      <c r="AM70" s="1945"/>
      <c r="AN70" s="1945"/>
      <c r="AO70" s="1945"/>
      <c r="AP70" s="1945"/>
      <c r="AQ70" s="1946"/>
      <c r="AR70" s="1946"/>
      <c r="AS70" s="1946"/>
      <c r="AT70" s="1946"/>
      <c r="AU70" s="1946"/>
      <c r="AV70" s="1946"/>
      <c r="AW70" s="1946"/>
      <c r="AX70" s="1947"/>
      <c r="AY70" s="1941">
        <v>-3950</v>
      </c>
      <c r="AZ70" s="1941">
        <v>-4054</v>
      </c>
      <c r="BA70" s="1302">
        <v>104</v>
      </c>
      <c r="BB70" s="1948">
        <v>2.5653675382338433E-2</v>
      </c>
      <c r="BC70" s="1949"/>
      <c r="BD70" s="1552">
        <v>-3950</v>
      </c>
      <c r="BE70" s="1543">
        <v>-4054</v>
      </c>
      <c r="BF70" s="1543">
        <v>-2966</v>
      </c>
      <c r="BG70" s="1858">
        <v>-2780</v>
      </c>
      <c r="BH70" s="1858">
        <v>-5945</v>
      </c>
      <c r="BI70" s="1858">
        <v>-5913</v>
      </c>
      <c r="BJ70" s="1858" t="s">
        <v>177</v>
      </c>
      <c r="BK70" s="1950" t="s">
        <v>177</v>
      </c>
      <c r="BL70" s="1858" t="s">
        <v>177</v>
      </c>
      <c r="BM70" s="1858" t="s">
        <v>177</v>
      </c>
      <c r="BN70" s="1951"/>
      <c r="BO70" s="1952"/>
      <c r="BP70" s="1952"/>
      <c r="BQ70" s="1953"/>
    </row>
    <row r="71" spans="1:72" x14ac:dyDescent="0.2">
      <c r="L71" s="1863"/>
      <c r="M71" s="1627"/>
      <c r="P71" s="1863"/>
      <c r="Q71" s="1627"/>
      <c r="T71" s="1863"/>
      <c r="U71" s="1627"/>
      <c r="X71" s="1863"/>
      <c r="Y71" s="1627"/>
      <c r="AB71" s="1863"/>
      <c r="AC71" s="1627"/>
      <c r="AG71" s="1627"/>
      <c r="AK71" s="1627"/>
      <c r="AO71" s="1627"/>
      <c r="AW71" s="1627"/>
      <c r="AY71" s="1603"/>
      <c r="AZ71" s="1603"/>
      <c r="BL71" s="1627"/>
      <c r="BM71" s="1627"/>
    </row>
    <row r="72" spans="1:72" x14ac:dyDescent="0.2">
      <c r="A72" s="969" t="s">
        <v>381</v>
      </c>
      <c r="C72" s="1887"/>
      <c r="J72" s="1627"/>
      <c r="K72" s="1627"/>
      <c r="L72" s="1627"/>
      <c r="M72" s="1627"/>
      <c r="N72" s="1627"/>
      <c r="O72" s="1627"/>
      <c r="P72" s="1627"/>
      <c r="Q72" s="1627"/>
      <c r="R72" s="1627"/>
      <c r="S72" s="1627"/>
      <c r="T72" s="1627"/>
      <c r="U72" s="1627"/>
      <c r="V72" s="1627"/>
      <c r="W72" s="1627"/>
      <c r="X72" s="1627"/>
      <c r="Y72" s="1627"/>
      <c r="Z72" s="1627"/>
      <c r="AA72" s="1627"/>
      <c r="AB72" s="1627"/>
      <c r="AC72" s="1627"/>
      <c r="AD72" s="1627"/>
      <c r="AE72" s="1627"/>
      <c r="AF72" s="1627"/>
      <c r="AG72" s="1627"/>
      <c r="AH72" s="1627"/>
      <c r="AI72" s="1627"/>
      <c r="AJ72" s="1627"/>
      <c r="AK72" s="1627"/>
      <c r="AL72" s="1627"/>
      <c r="AM72" s="1627"/>
      <c r="AN72" s="1627"/>
      <c r="AO72" s="1627"/>
      <c r="AP72" s="1627"/>
      <c r="AQ72" s="1627"/>
      <c r="AR72" s="1627"/>
      <c r="AS72" s="1627"/>
      <c r="AT72" s="1627"/>
      <c r="AU72" s="1627"/>
      <c r="AV72" s="1627"/>
      <c r="AW72" s="1627"/>
      <c r="AX72" s="1627"/>
      <c r="AY72" s="1627"/>
      <c r="AZ72" s="1627"/>
      <c r="BA72" s="1701"/>
      <c r="BB72" s="1701"/>
      <c r="BC72" s="1627"/>
      <c r="BD72" s="1627"/>
      <c r="BE72" s="1627"/>
      <c r="BF72" s="1627"/>
      <c r="BG72" s="1627"/>
      <c r="BH72" s="1627"/>
      <c r="BI72" s="1627"/>
      <c r="BJ72" s="1627"/>
      <c r="BK72" s="1627"/>
      <c r="BL72" s="1627"/>
      <c r="BM72" s="1627"/>
      <c r="BN72" s="1627"/>
    </row>
    <row r="73" spans="1:72" x14ac:dyDescent="0.2">
      <c r="A73" s="989" t="s">
        <v>29</v>
      </c>
      <c r="J73" s="1652"/>
      <c r="K73" s="1652"/>
      <c r="L73" s="1652"/>
      <c r="M73" s="1652"/>
      <c r="N73" s="1652"/>
      <c r="O73" s="1652"/>
      <c r="P73" s="1652"/>
      <c r="Q73" s="1652"/>
      <c r="R73" s="1652"/>
      <c r="S73" s="1652"/>
      <c r="T73" s="1652"/>
      <c r="U73" s="1652"/>
      <c r="V73" s="1652"/>
      <c r="W73" s="1652"/>
      <c r="X73" s="1652"/>
      <c r="Y73" s="1652"/>
      <c r="Z73" s="1652"/>
      <c r="AA73" s="1652"/>
      <c r="AB73" s="1652"/>
      <c r="AC73" s="1652"/>
      <c r="AD73" s="1652"/>
      <c r="AE73" s="1652"/>
      <c r="AF73" s="1652"/>
      <c r="AG73" s="1652"/>
      <c r="AH73" s="1652"/>
      <c r="AI73" s="1652"/>
      <c r="AJ73" s="1652"/>
      <c r="AK73" s="1652"/>
      <c r="AL73" s="1652"/>
      <c r="AM73" s="1652"/>
      <c r="AN73" s="1652"/>
      <c r="AO73" s="1652"/>
      <c r="AP73" s="1652"/>
      <c r="AQ73" s="1652"/>
      <c r="AR73" s="1652"/>
      <c r="AS73" s="1652"/>
      <c r="AT73" s="1652"/>
      <c r="AU73" s="1652"/>
      <c r="AV73" s="1652"/>
      <c r="AW73" s="1652"/>
      <c r="AX73" s="1652"/>
      <c r="AY73" s="1652"/>
      <c r="AZ73" s="1652"/>
      <c r="BA73" s="1864"/>
      <c r="BB73" s="1864"/>
      <c r="BC73" s="1652"/>
      <c r="BD73" s="1652"/>
      <c r="BE73" s="1652"/>
      <c r="BF73" s="1652"/>
      <c r="BG73" s="1652"/>
      <c r="BH73" s="1652"/>
      <c r="BI73" s="1652"/>
      <c r="BJ73" s="1652"/>
      <c r="BK73" s="1652"/>
      <c r="BL73" s="1652"/>
      <c r="BM73" s="1652"/>
      <c r="BN73" s="1652"/>
      <c r="BO73" s="1652">
        <f>BO72-BO68</f>
        <v>0</v>
      </c>
      <c r="BP73" s="1652">
        <f>BP72-BP68</f>
        <v>0</v>
      </c>
      <c r="BQ73" s="1652">
        <f>BQ72-BQ68</f>
        <v>0</v>
      </c>
    </row>
    <row r="74" spans="1:72" x14ac:dyDescent="0.2">
      <c r="A74" s="964"/>
      <c r="L74" s="1652"/>
      <c r="M74" s="1652"/>
      <c r="P74" s="1652"/>
      <c r="Q74" s="1652"/>
      <c r="T74" s="1652"/>
      <c r="U74" s="1652"/>
      <c r="X74" s="1652"/>
      <c r="Y74" s="1652"/>
      <c r="AB74" s="1652"/>
      <c r="AC74" s="1652"/>
      <c r="AG74" s="1652"/>
      <c r="AK74" s="1652"/>
      <c r="AL74" s="1652"/>
      <c r="AM74" s="1652"/>
      <c r="AN74" s="1652"/>
      <c r="AO74" s="1652"/>
      <c r="AP74" s="1652"/>
      <c r="AQ74" s="1652"/>
      <c r="AR74" s="1652"/>
      <c r="AS74" s="1652"/>
      <c r="AT74" s="1652"/>
      <c r="AU74" s="1652"/>
      <c r="AV74" s="1652"/>
      <c r="AW74" s="1652"/>
      <c r="AX74" s="1652"/>
      <c r="AY74" s="1652"/>
      <c r="AZ74" s="1652"/>
      <c r="BA74" s="1864"/>
      <c r="BB74" s="1864"/>
      <c r="BC74" s="1652"/>
      <c r="BD74" s="1652"/>
      <c r="BE74" s="1652"/>
      <c r="BF74" s="1652"/>
      <c r="BG74" s="1652"/>
      <c r="BH74" s="1652"/>
      <c r="BI74" s="1652"/>
      <c r="BJ74" s="1652"/>
      <c r="BK74" s="1652"/>
      <c r="BL74" s="1652"/>
      <c r="BM74" s="1865"/>
      <c r="BN74" s="1865"/>
    </row>
    <row r="75" spans="1:72" x14ac:dyDescent="0.2">
      <c r="A75" s="969" t="s">
        <v>310</v>
      </c>
      <c r="J75" s="1652"/>
      <c r="K75" s="1652"/>
      <c r="L75" s="1652"/>
      <c r="M75" s="1652"/>
      <c r="N75" s="1652"/>
      <c r="O75" s="1652"/>
      <c r="P75" s="1652"/>
      <c r="Q75" s="1652"/>
      <c r="R75" s="1652"/>
      <c r="S75" s="1652"/>
      <c r="T75" s="1652"/>
      <c r="U75" s="1652"/>
      <c r="V75" s="1652"/>
      <c r="W75" s="1652"/>
      <c r="X75" s="1652"/>
      <c r="Y75" s="1652"/>
      <c r="Z75" s="1652"/>
      <c r="AA75" s="1652"/>
      <c r="AB75" s="1652"/>
      <c r="AC75" s="1652"/>
      <c r="AD75" s="1652"/>
      <c r="AE75" s="1652"/>
      <c r="AF75" s="1652"/>
      <c r="AG75" s="1652"/>
      <c r="AH75" s="1652"/>
      <c r="AI75" s="1652"/>
      <c r="AJ75" s="1652"/>
      <c r="AK75" s="1652"/>
      <c r="AL75" s="1652"/>
      <c r="AM75" s="1652"/>
      <c r="AN75" s="1652"/>
      <c r="AO75" s="1652"/>
      <c r="AP75" s="1652"/>
      <c r="AQ75" s="1652"/>
      <c r="AR75" s="1652"/>
      <c r="AS75" s="1652"/>
      <c r="AT75" s="1652"/>
      <c r="AU75" s="1652"/>
      <c r="AV75" s="1652"/>
      <c r="AW75" s="1652"/>
      <c r="AX75" s="1652"/>
      <c r="AY75" s="1652"/>
      <c r="AZ75" s="1652"/>
      <c r="BA75" s="1864"/>
      <c r="BB75" s="1864"/>
      <c r="BC75" s="1652"/>
      <c r="BD75" s="1652"/>
      <c r="BE75" s="1652"/>
      <c r="BF75" s="1652"/>
      <c r="BG75" s="1652"/>
      <c r="BH75" s="1652"/>
      <c r="BI75" s="1652"/>
      <c r="BJ75" s="1652"/>
      <c r="BK75" s="1652"/>
      <c r="BL75" s="1652"/>
      <c r="BM75" s="1652"/>
      <c r="BN75" s="1652"/>
    </row>
    <row r="76" spans="1:72" x14ac:dyDescent="0.2">
      <c r="J76" s="1652"/>
      <c r="K76" s="1652"/>
      <c r="L76" s="1652"/>
      <c r="M76" s="1652"/>
      <c r="N76" s="1652"/>
      <c r="O76" s="1652"/>
      <c r="P76" s="1652"/>
      <c r="Q76" s="1652"/>
      <c r="R76" s="1652"/>
      <c r="S76" s="1652"/>
      <c r="T76" s="1652"/>
      <c r="U76" s="1652"/>
      <c r="V76" s="1652"/>
      <c r="W76" s="1652"/>
      <c r="X76" s="1652"/>
      <c r="Y76" s="1652"/>
      <c r="Z76" s="1652"/>
      <c r="AA76" s="1652"/>
      <c r="AB76" s="1652"/>
      <c r="AC76" s="1652"/>
      <c r="AD76" s="1652"/>
      <c r="AE76" s="1652"/>
      <c r="AF76" s="1652"/>
      <c r="AG76" s="1652"/>
      <c r="AH76" s="1652"/>
      <c r="AI76" s="1652"/>
      <c r="AJ76" s="1652"/>
      <c r="AK76" s="1652"/>
      <c r="AL76" s="1652"/>
      <c r="AM76" s="1652"/>
      <c r="AN76" s="1652"/>
      <c r="AO76" s="1652"/>
      <c r="AP76" s="1652"/>
      <c r="AQ76" s="1652"/>
      <c r="AR76" s="1652"/>
      <c r="AS76" s="1652"/>
      <c r="AT76" s="1652"/>
      <c r="AU76" s="1652"/>
      <c r="AV76" s="1652"/>
      <c r="AW76" s="1652"/>
      <c r="AX76" s="1652"/>
      <c r="AY76" s="1652"/>
      <c r="AZ76" s="1652"/>
      <c r="BA76" s="1864"/>
      <c r="BB76" s="1864"/>
      <c r="BC76" s="1652"/>
      <c r="BD76" s="1652"/>
      <c r="BE76" s="1652"/>
      <c r="BF76" s="1652"/>
      <c r="BG76" s="1652"/>
      <c r="BH76" s="1652"/>
      <c r="BI76" s="1652"/>
      <c r="BJ76" s="1652"/>
      <c r="BK76" s="1652"/>
      <c r="BL76" s="1652"/>
      <c r="BM76" s="1652"/>
      <c r="BN76" s="1652"/>
    </row>
    <row r="77" spans="1:72" x14ac:dyDescent="0.2">
      <c r="A77" s="1603"/>
      <c r="B77" s="1603"/>
      <c r="C77" s="1863"/>
      <c r="D77" s="1603"/>
      <c r="J77" s="1866"/>
      <c r="K77" s="1866"/>
      <c r="L77" s="1866"/>
      <c r="M77" s="1866"/>
      <c r="N77" s="1866"/>
      <c r="O77" s="1866"/>
      <c r="P77" s="1866"/>
      <c r="Q77" s="1866"/>
      <c r="R77" s="1866"/>
      <c r="S77" s="1866"/>
      <c r="T77" s="1866"/>
      <c r="U77" s="1866"/>
      <c r="V77" s="1866"/>
      <c r="W77" s="1866"/>
      <c r="X77" s="1866"/>
      <c r="Y77" s="1866"/>
      <c r="Z77" s="1866"/>
      <c r="AA77" s="1866"/>
      <c r="AB77" s="1866"/>
      <c r="AC77" s="1866"/>
      <c r="AD77" s="1866"/>
      <c r="AE77" s="1866"/>
      <c r="AF77" s="1866"/>
      <c r="AG77" s="1866"/>
      <c r="AH77" s="1866"/>
      <c r="AI77" s="1866"/>
      <c r="AJ77" s="1866"/>
      <c r="AK77" s="1866"/>
      <c r="AL77" s="1866"/>
      <c r="AM77" s="1866"/>
      <c r="AN77" s="1866"/>
      <c r="AO77" s="1866"/>
      <c r="AP77" s="1866"/>
      <c r="AQ77" s="1866"/>
      <c r="AR77" s="1866"/>
      <c r="AS77" s="1866"/>
      <c r="AT77" s="1866"/>
      <c r="AU77" s="1866"/>
      <c r="AV77" s="1866"/>
      <c r="AW77" s="1866"/>
      <c r="AX77" s="1844"/>
      <c r="AY77" s="1866"/>
      <c r="AZ77" s="1866"/>
      <c r="BA77" s="1867"/>
      <c r="BB77" s="1867"/>
      <c r="BC77" s="1866"/>
      <c r="BD77" s="1866"/>
      <c r="BE77" s="1866"/>
      <c r="BF77" s="1866"/>
      <c r="BG77" s="1866"/>
      <c r="BH77" s="1866"/>
      <c r="BI77" s="1866"/>
      <c r="BJ77" s="1866"/>
      <c r="BK77" s="1866"/>
      <c r="BL77" s="1866"/>
      <c r="BM77" s="1866"/>
      <c r="BN77" s="1866"/>
    </row>
    <row r="78" spans="1:72" x14ac:dyDescent="0.2">
      <c r="J78" s="1652"/>
      <c r="K78" s="1652"/>
      <c r="L78" s="1652"/>
      <c r="M78" s="1652"/>
      <c r="N78" s="1652"/>
      <c r="O78" s="1652"/>
      <c r="P78" s="1652"/>
      <c r="Q78" s="1652"/>
      <c r="R78" s="1652"/>
      <c r="S78" s="1652"/>
      <c r="T78" s="1652"/>
      <c r="U78" s="1652"/>
      <c r="V78" s="1652"/>
      <c r="W78" s="1652"/>
      <c r="X78" s="1652"/>
      <c r="Y78" s="1652"/>
      <c r="Z78" s="1652"/>
      <c r="AA78" s="1652"/>
      <c r="AB78" s="1652"/>
      <c r="AC78" s="1652"/>
      <c r="AD78" s="1652"/>
      <c r="AE78" s="1652"/>
      <c r="AF78" s="1652"/>
      <c r="AG78" s="1652"/>
      <c r="AH78" s="1652"/>
      <c r="AI78" s="1652"/>
      <c r="AJ78" s="1652"/>
      <c r="AK78" s="1652"/>
      <c r="AL78" s="1652"/>
      <c r="AM78" s="1652"/>
      <c r="AN78" s="1652"/>
      <c r="AO78" s="1652"/>
      <c r="AP78" s="1652"/>
      <c r="AQ78" s="1652"/>
      <c r="AR78" s="1652"/>
      <c r="AS78" s="1652"/>
      <c r="AT78" s="1652"/>
      <c r="AU78" s="1652"/>
      <c r="AV78" s="1652"/>
      <c r="AW78" s="1652"/>
      <c r="AX78" s="1652"/>
      <c r="AY78" s="1652"/>
      <c r="AZ78" s="1652"/>
      <c r="BA78" s="1652"/>
      <c r="BB78" s="1652"/>
      <c r="BC78" s="1652"/>
      <c r="BD78" s="1652"/>
      <c r="BE78" s="1652"/>
      <c r="BF78" s="1652"/>
      <c r="BG78" s="1652"/>
      <c r="BH78" s="1652"/>
      <c r="BI78" s="1652"/>
      <c r="BJ78" s="1652"/>
      <c r="BK78" s="1652"/>
      <c r="BL78" s="1603"/>
      <c r="BM78" s="1603"/>
      <c r="BN78" s="1603"/>
    </row>
    <row r="79" spans="1:72" x14ac:dyDescent="0.2">
      <c r="J79" s="1652"/>
      <c r="K79" s="1652"/>
      <c r="L79" s="1652"/>
      <c r="M79" s="1652"/>
      <c r="N79" s="1652"/>
      <c r="O79" s="1652"/>
      <c r="P79" s="1652"/>
      <c r="Q79" s="1652"/>
      <c r="R79" s="1652"/>
      <c r="S79" s="1652"/>
      <c r="T79" s="1652"/>
      <c r="U79" s="1652"/>
      <c r="V79" s="1652"/>
      <c r="W79" s="1652"/>
      <c r="X79" s="1652"/>
      <c r="Y79" s="1652"/>
      <c r="Z79" s="1652"/>
      <c r="AA79" s="1652"/>
      <c r="AB79" s="1652"/>
      <c r="AC79" s="1652"/>
      <c r="AD79" s="1652"/>
      <c r="AE79" s="1652"/>
      <c r="AF79" s="1652"/>
      <c r="AG79" s="1652"/>
      <c r="AH79" s="1652"/>
      <c r="AI79" s="1652"/>
      <c r="AJ79" s="1652"/>
      <c r="AK79" s="1652"/>
      <c r="AL79" s="1652"/>
      <c r="AM79" s="1652"/>
      <c r="AN79" s="1652"/>
      <c r="AO79" s="1652"/>
      <c r="AP79" s="1652"/>
      <c r="AQ79" s="1652"/>
      <c r="AR79" s="1652"/>
      <c r="AS79" s="1652"/>
      <c r="AT79" s="1652"/>
      <c r="AU79" s="1652"/>
      <c r="AV79" s="1652"/>
      <c r="AW79" s="1652"/>
      <c r="AX79" s="1652"/>
      <c r="AY79" s="1652"/>
      <c r="AZ79" s="1652"/>
      <c r="BA79" s="1864"/>
      <c r="BB79" s="1864"/>
      <c r="BC79" s="1652"/>
      <c r="BD79" s="1652"/>
      <c r="BE79" s="1652"/>
      <c r="BF79" s="1652"/>
      <c r="BG79" s="1652"/>
      <c r="BH79" s="1652"/>
      <c r="BI79" s="1652"/>
      <c r="BJ79" s="1652"/>
      <c r="BK79" s="1652"/>
      <c r="BL79" s="1652"/>
      <c r="BM79" s="1652"/>
      <c r="BN79" s="1652"/>
    </row>
    <row r="80" spans="1:72" x14ac:dyDescent="0.2">
      <c r="AO80" s="1868"/>
      <c r="AW80" s="1868"/>
      <c r="AY80" s="1603"/>
      <c r="AZ80" s="1603"/>
      <c r="BL80" s="1606"/>
      <c r="BM80" s="1606"/>
    </row>
    <row r="81" spans="1:99" x14ac:dyDescent="0.2">
      <c r="AO81" s="1606"/>
      <c r="AW81" s="1869"/>
      <c r="AY81" s="1603"/>
      <c r="AZ81" s="1603"/>
      <c r="BL81" s="1606"/>
      <c r="BM81" s="1606"/>
    </row>
    <row r="82" spans="1:99" x14ac:dyDescent="0.2">
      <c r="AO82" s="1606"/>
      <c r="AP82" s="1606"/>
      <c r="AS82" s="1606"/>
      <c r="AU82" s="1606"/>
      <c r="AV82" s="1606"/>
      <c r="AW82" s="1606"/>
      <c r="AY82" s="1603"/>
      <c r="AZ82" s="1603"/>
      <c r="BL82" s="1771"/>
      <c r="BM82" s="1771"/>
    </row>
    <row r="83" spans="1:99" x14ac:dyDescent="0.2">
      <c r="AO83" s="1771"/>
      <c r="AP83" s="1872"/>
      <c r="AQ83" s="1771"/>
      <c r="AR83" s="1771"/>
      <c r="AS83" s="1771"/>
      <c r="AT83" s="1873"/>
      <c r="AU83" s="1873"/>
      <c r="AV83" s="1874"/>
      <c r="AW83" s="1608"/>
      <c r="AY83" s="1603"/>
      <c r="AZ83" s="1603"/>
      <c r="BL83" s="1771"/>
      <c r="BM83" s="1771"/>
    </row>
    <row r="84" spans="1:99" x14ac:dyDescent="0.2">
      <c r="AO84" s="1771"/>
      <c r="AP84" s="1771"/>
      <c r="AQ84" s="1771"/>
      <c r="AR84" s="1771"/>
      <c r="AS84" s="1771"/>
      <c r="AT84" s="1875"/>
      <c r="AU84" s="1771"/>
      <c r="AV84" s="1771"/>
      <c r="AW84" s="1771"/>
      <c r="AY84" s="1603"/>
      <c r="AZ84" s="1603"/>
      <c r="BL84" s="1644"/>
      <c r="BM84" s="1644"/>
    </row>
    <row r="85" spans="1:99" x14ac:dyDescent="0.2">
      <c r="AO85" s="1644"/>
      <c r="AP85" s="1876"/>
      <c r="AQ85" s="1773"/>
      <c r="AR85" s="1773"/>
      <c r="AS85" s="1773"/>
      <c r="AT85" s="1876"/>
      <c r="AU85" s="1773"/>
      <c r="AV85" s="1773"/>
      <c r="AW85" s="1628"/>
      <c r="AY85" s="1603"/>
      <c r="AZ85" s="1603"/>
      <c r="BL85" s="1773"/>
      <c r="BM85" s="1773"/>
    </row>
    <row r="86" spans="1:99" x14ac:dyDescent="0.2">
      <c r="AO86" s="1644"/>
      <c r="AP86" s="1773"/>
      <c r="AQ86" s="1773"/>
      <c r="AR86" s="1773"/>
      <c r="AS86" s="1773"/>
      <c r="AT86" s="1773"/>
      <c r="AU86" s="1773"/>
      <c r="AV86" s="1773"/>
      <c r="AW86" s="1628"/>
      <c r="AY86" s="1603"/>
      <c r="AZ86" s="1603"/>
      <c r="BL86" s="1773"/>
      <c r="BM86" s="1773"/>
    </row>
    <row r="87" spans="1:99" x14ac:dyDescent="0.2">
      <c r="AO87" s="1644"/>
      <c r="AP87" s="1773"/>
      <c r="AQ87" s="1773"/>
      <c r="AR87" s="1773"/>
      <c r="AS87" s="1773"/>
      <c r="AT87" s="1773"/>
      <c r="AU87" s="1773"/>
      <c r="AV87" s="1773"/>
      <c r="AW87" s="1628"/>
      <c r="AY87" s="1603"/>
      <c r="AZ87" s="1603"/>
      <c r="BL87" s="1773"/>
      <c r="BM87" s="1773"/>
    </row>
    <row r="88" spans="1:99" x14ac:dyDescent="0.2">
      <c r="AO88" s="1773"/>
      <c r="AP88" s="1773"/>
      <c r="AQ88" s="1773"/>
      <c r="AR88" s="1773"/>
      <c r="AS88" s="1773"/>
      <c r="AT88" s="1773"/>
      <c r="AU88" s="1773"/>
      <c r="AV88" s="1773"/>
      <c r="AW88" s="1773"/>
      <c r="AY88" s="1603"/>
      <c r="AZ88" s="1603"/>
      <c r="BL88" s="1877"/>
      <c r="BM88" s="1877"/>
    </row>
    <row r="89" spans="1:99" x14ac:dyDescent="0.2">
      <c r="AO89" s="1877"/>
      <c r="AP89" s="1877"/>
      <c r="AQ89" s="1877"/>
      <c r="AR89" s="1877"/>
      <c r="AS89" s="1877"/>
      <c r="AT89" s="1877"/>
      <c r="AU89" s="1877"/>
      <c r="AV89" s="1877"/>
      <c r="AW89" s="1877"/>
      <c r="AY89" s="1603"/>
      <c r="AZ89" s="1603"/>
      <c r="BL89" s="1877"/>
      <c r="BM89" s="1877"/>
    </row>
    <row r="90" spans="1:99" x14ac:dyDescent="0.2">
      <c r="AO90" s="1877"/>
      <c r="AP90" s="1877"/>
      <c r="AQ90" s="1877"/>
      <c r="AR90" s="1877"/>
      <c r="AS90" s="1877"/>
      <c r="AT90" s="1877"/>
      <c r="AU90" s="1877"/>
      <c r="AV90" s="1877"/>
      <c r="AW90" s="1877"/>
      <c r="AY90" s="1603"/>
      <c r="AZ90" s="1603"/>
      <c r="BL90" s="1603"/>
      <c r="BM90" s="1603"/>
    </row>
    <row r="91" spans="1:99" x14ac:dyDescent="0.2">
      <c r="AO91" s="1603"/>
      <c r="AP91" s="1603"/>
      <c r="AQ91" s="1603"/>
      <c r="AR91" s="1603"/>
      <c r="AS91" s="1603"/>
      <c r="AT91" s="1603"/>
      <c r="AU91" s="1603"/>
      <c r="AV91" s="1603"/>
      <c r="AW91" s="1603"/>
      <c r="AY91" s="1603"/>
      <c r="AZ91" s="1603"/>
      <c r="BL91" s="1603"/>
      <c r="BM91" s="1603"/>
    </row>
    <row r="92" spans="1:99" x14ac:dyDescent="0.2">
      <c r="AO92" s="1603"/>
      <c r="AP92" s="1603"/>
      <c r="AQ92" s="1603"/>
      <c r="AR92" s="1603"/>
      <c r="AS92" s="1603"/>
      <c r="AT92" s="1603"/>
      <c r="AU92" s="1603"/>
      <c r="AV92" s="1603"/>
      <c r="AW92" s="1603"/>
      <c r="AY92" s="1603"/>
      <c r="AZ92" s="1603"/>
      <c r="BL92" s="1603"/>
      <c r="BM92" s="1603"/>
    </row>
    <row r="93" spans="1:99" x14ac:dyDescent="0.2">
      <c r="AO93" s="1603"/>
      <c r="AP93" s="1603"/>
      <c r="AQ93" s="1603"/>
      <c r="AR93" s="1603"/>
      <c r="AS93" s="1603"/>
      <c r="AT93" s="1603"/>
      <c r="AU93" s="1603"/>
      <c r="AV93" s="1603"/>
      <c r="AW93" s="1603"/>
      <c r="AY93" s="1603"/>
      <c r="AZ93" s="1603"/>
      <c r="BL93" s="1603"/>
      <c r="BM93" s="1603"/>
    </row>
    <row r="94" spans="1:99" x14ac:dyDescent="0.2">
      <c r="AO94" s="1603"/>
      <c r="AP94" s="1603"/>
      <c r="AQ94" s="1603"/>
      <c r="AR94" s="1603"/>
      <c r="AS94" s="1603"/>
      <c r="AT94" s="1603"/>
      <c r="AU94" s="1603"/>
      <c r="AV94" s="1603"/>
      <c r="AW94" s="1603"/>
      <c r="AY94" s="1603"/>
      <c r="AZ94" s="1603"/>
      <c r="BL94" s="1603"/>
      <c r="BM94" s="1603"/>
    </row>
    <row r="95" spans="1:99" s="1561" customFormat="1" x14ac:dyDescent="0.2">
      <c r="A95" s="1602"/>
      <c r="B95" s="1602"/>
      <c r="C95" s="1602"/>
      <c r="D95" s="1602"/>
      <c r="E95" s="1560"/>
      <c r="F95" s="1560"/>
      <c r="G95" s="1560"/>
      <c r="H95" s="1560"/>
      <c r="I95" s="1560"/>
      <c r="J95" s="1603"/>
      <c r="K95" s="1603"/>
      <c r="L95" s="1603"/>
      <c r="M95" s="1603"/>
      <c r="N95" s="1603"/>
      <c r="O95" s="1603"/>
      <c r="P95" s="1603"/>
      <c r="Q95" s="1603"/>
      <c r="R95" s="1603"/>
      <c r="S95" s="1603"/>
      <c r="T95" s="1603"/>
      <c r="U95" s="1603"/>
      <c r="V95" s="1603"/>
      <c r="W95" s="1603"/>
      <c r="X95" s="1603"/>
      <c r="Y95" s="1603"/>
      <c r="Z95" s="1603"/>
      <c r="AA95" s="1603"/>
      <c r="AB95" s="1603"/>
      <c r="AC95" s="1603"/>
      <c r="AD95" s="1603"/>
      <c r="AE95" s="1603"/>
      <c r="AF95" s="1603"/>
      <c r="AG95" s="1603"/>
      <c r="AH95" s="1603"/>
      <c r="AI95" s="1603"/>
      <c r="AJ95" s="1603"/>
      <c r="AK95" s="1603"/>
      <c r="AL95" s="1603"/>
      <c r="AM95" s="1603"/>
      <c r="AN95" s="1603"/>
      <c r="AO95" s="1603"/>
      <c r="AP95" s="1603"/>
      <c r="AQ95" s="1603"/>
      <c r="AR95" s="1603"/>
      <c r="AS95" s="1603"/>
      <c r="AT95" s="1603"/>
      <c r="AU95" s="1603"/>
      <c r="AV95" s="1603"/>
      <c r="AW95" s="1603"/>
      <c r="AX95" s="1603"/>
      <c r="AY95" s="1603"/>
      <c r="AZ95" s="1603"/>
      <c r="BA95" s="1653"/>
      <c r="BB95" s="1653"/>
      <c r="BC95" s="1602"/>
      <c r="BD95" s="1602"/>
      <c r="BE95" s="1602"/>
      <c r="BF95" s="1602"/>
      <c r="BG95" s="1602"/>
      <c r="BH95" s="1602"/>
      <c r="BI95" s="1602"/>
      <c r="BJ95" s="1602"/>
      <c r="BK95" s="1602"/>
      <c r="BL95" s="1602"/>
      <c r="BM95" s="1602"/>
      <c r="BN95" s="1602"/>
      <c r="BO95" s="1602"/>
      <c r="BP95" s="1602"/>
      <c r="BQ95" s="1602"/>
      <c r="BR95" s="1602"/>
      <c r="BS95" s="1559"/>
      <c r="BT95" s="1559"/>
      <c r="BU95" s="1559"/>
      <c r="BV95" s="1559"/>
      <c r="BW95" s="1559"/>
      <c r="BX95" s="1559"/>
      <c r="BY95" s="1559"/>
      <c r="BZ95" s="1559"/>
      <c r="CA95" s="1559"/>
      <c r="CB95" s="1559"/>
      <c r="CC95" s="1559"/>
      <c r="CD95" s="1559"/>
      <c r="CE95" s="1559"/>
      <c r="CF95" s="1559"/>
      <c r="CG95" s="1559"/>
      <c r="CH95" s="1559"/>
      <c r="CI95" s="1559"/>
      <c r="CJ95" s="1559"/>
      <c r="CK95" s="1559"/>
      <c r="CL95" s="1559"/>
      <c r="CM95" s="1559"/>
      <c r="CN95" s="1559"/>
      <c r="CO95" s="1559"/>
      <c r="CP95" s="1559"/>
      <c r="CQ95" s="1559"/>
      <c r="CR95" s="1559"/>
      <c r="CS95" s="1559"/>
      <c r="CT95" s="1559"/>
      <c r="CU95" s="1559"/>
    </row>
  </sheetData>
  <mergeCells count="11">
    <mergeCell ref="C49:D49"/>
    <mergeCell ref="BA49:BB49"/>
    <mergeCell ref="C60:D60"/>
    <mergeCell ref="C61:D61"/>
    <mergeCell ref="BA61:BB61"/>
    <mergeCell ref="C48:D48"/>
    <mergeCell ref="C10:D10"/>
    <mergeCell ref="C11:D11"/>
    <mergeCell ref="BA11:BB11"/>
    <mergeCell ref="A31:B31"/>
    <mergeCell ref="A33:B33"/>
  </mergeCells>
  <conditionalFormatting sqref="A46:A47 AQ55:AW58 A67:A69 A59 AQ40:AR40 AS40:AW41 AQ37:AW38 BM37:BM41 A34 A37:A38 BL36 B34:B38 BG58:BM58 BK40:BL41 BK37:BL38 BK55:BM57">
    <cfRule type="cellIs" dxfId="53" priority="5" stopIfTrue="1" operator="equal">
      <formula>0</formula>
    </cfRule>
  </conditionalFormatting>
  <conditionalFormatting sqref="BG58">
    <cfRule type="cellIs" dxfId="52" priority="4" stopIfTrue="1" operator="equal">
      <formula>0</formula>
    </cfRule>
  </conditionalFormatting>
  <conditionalFormatting sqref="BF58">
    <cfRule type="cellIs" dxfId="51" priority="3" stopIfTrue="1" operator="equal">
      <formula>0</formula>
    </cfRule>
  </conditionalFormatting>
  <conditionalFormatting sqref="BE58">
    <cfRule type="cellIs" dxfId="50" priority="2" stopIfTrue="1" operator="equal">
      <formula>0</formula>
    </cfRule>
  </conditionalFormatting>
  <conditionalFormatting sqref="BD58">
    <cfRule type="cellIs" dxfId="49" priority="1" stopIfTrue="1" operator="equal">
      <formula>0</formula>
    </cfRule>
  </conditionalFormatting>
  <printOptions horizontalCentered="1"/>
  <pageMargins left="0.3" right="0.3" top="0.4" bottom="0.6" header="0" footer="0.3"/>
  <pageSetup scale="54" orientation="landscape" r:id="rId1"/>
  <headerFooter alignWithMargins="0">
    <oddFooter>&amp;L&amp;F&amp;CPage 5</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82"/>
  <sheetViews>
    <sheetView topLeftCell="A10" zoomScale="90" zoomScaleNormal="90" zoomScaleSheetLayoutView="80" zoomScalePageLayoutView="80" workbookViewId="0">
      <selection activeCell="O75" sqref="O75"/>
    </sheetView>
  </sheetViews>
  <sheetFormatPr defaultRowHeight="12.75" x14ac:dyDescent="0.2"/>
  <cols>
    <col min="1" max="1" width="2.7109375" style="1602" customWidth="1"/>
    <col min="2" max="2" width="47.85546875" style="1602" customWidth="1"/>
    <col min="3" max="3" width="10.7109375" style="1602" customWidth="1"/>
    <col min="4" max="4" width="9.7109375" style="1602" customWidth="1"/>
    <col min="5" max="5" width="1.5703125" style="1560" customWidth="1"/>
    <col min="6" max="8" width="7.85546875" style="1560" hidden="1" customWidth="1"/>
    <col min="9" max="9" width="10.85546875" style="1560" customWidth="1"/>
    <col min="10" max="10" width="9.7109375" style="1603" customWidth="1"/>
    <col min="11" max="11" width="10.5703125" style="1603" customWidth="1"/>
    <col min="12" max="12" width="8.7109375" style="1603" customWidth="1"/>
    <col min="13" max="13" width="7.5703125" style="1603" bestFit="1" customWidth="1"/>
    <col min="14" max="14" width="9.7109375" style="1603" customWidth="1"/>
    <col min="15" max="15" width="8.42578125" style="1603" bestFit="1" customWidth="1"/>
    <col min="16" max="17" width="8.7109375" style="1603" customWidth="1"/>
    <col min="18" max="33" width="8.7109375" style="1603" hidden="1" customWidth="1"/>
    <col min="34" max="40" width="9.7109375" style="1603" hidden="1" customWidth="1"/>
    <col min="41" max="49" width="9.7109375" style="1602" hidden="1" customWidth="1"/>
    <col min="50" max="50" width="1.5703125" style="1603" hidden="1" customWidth="1"/>
    <col min="51" max="51" width="9.42578125" style="1602" hidden="1" customWidth="1"/>
    <col min="52" max="52" width="9" style="1602" hidden="1" customWidth="1"/>
    <col min="53" max="54" width="9.7109375" style="1653" hidden="1" customWidth="1"/>
    <col min="55" max="55" width="1.5703125" style="1602" customWidth="1"/>
    <col min="56" max="60" width="9.7109375" style="1602" customWidth="1"/>
    <col min="61" max="68" width="9.7109375" style="1602" hidden="1" customWidth="1"/>
    <col min="69" max="69" width="1.5703125" style="1602" customWidth="1"/>
    <col min="70" max="70" width="9.140625" style="1602"/>
    <col min="71" max="16384" width="9.140625" style="1559"/>
  </cols>
  <sheetData>
    <row r="2" spans="1:76" x14ac:dyDescent="0.2">
      <c r="K2" s="1652"/>
      <c r="L2" s="1652"/>
      <c r="M2" s="1652"/>
      <c r="O2" s="1652"/>
      <c r="P2" s="1652"/>
      <c r="Q2" s="1652"/>
      <c r="S2" s="1652"/>
      <c r="T2" s="1652"/>
      <c r="U2" s="1652"/>
      <c r="X2" s="1652"/>
      <c r="Y2" s="1652"/>
      <c r="AB2" s="1652"/>
      <c r="AC2" s="1652"/>
      <c r="AF2" s="1652"/>
      <c r="AG2" s="1652"/>
      <c r="AJ2" s="1652"/>
      <c r="AK2" s="1652"/>
    </row>
    <row r="5" spans="1:76" x14ac:dyDescent="0.2">
      <c r="A5" s="1603"/>
      <c r="B5" s="1603"/>
      <c r="C5" s="1603"/>
      <c r="D5" s="1603"/>
      <c r="AO5" s="1603"/>
      <c r="AP5" s="1603"/>
      <c r="AQ5" s="1603"/>
    </row>
    <row r="6" spans="1:76" ht="18" customHeight="1" x14ac:dyDescent="0.2">
      <c r="A6" s="1885" t="s">
        <v>382</v>
      </c>
      <c r="B6" s="1603"/>
      <c r="C6" s="1603"/>
      <c r="D6" s="1603"/>
      <c r="AO6" s="1603"/>
      <c r="AP6" s="1603"/>
      <c r="AQ6" s="1603"/>
    </row>
    <row r="7" spans="1:76" ht="18" customHeight="1" x14ac:dyDescent="0.2">
      <c r="A7" s="1885" t="s">
        <v>364</v>
      </c>
      <c r="B7" s="1603"/>
      <c r="C7" s="1603"/>
      <c r="D7" s="1603"/>
      <c r="AO7" s="1603"/>
      <c r="AP7" s="1603"/>
      <c r="AQ7" s="1603"/>
      <c r="AZ7" s="1603"/>
    </row>
    <row r="8" spans="1:76" ht="18" customHeight="1" x14ac:dyDescent="0.2">
      <c r="A8" s="1604" t="s">
        <v>363</v>
      </c>
      <c r="B8" s="1605"/>
      <c r="C8" s="1605"/>
      <c r="D8" s="1605"/>
      <c r="E8" s="1562"/>
      <c r="F8" s="1562"/>
      <c r="G8" s="1562"/>
      <c r="H8" s="1562"/>
      <c r="I8" s="1562"/>
      <c r="J8" s="1605"/>
      <c r="K8" s="1605"/>
      <c r="L8" s="1605"/>
      <c r="M8" s="1605"/>
      <c r="N8" s="1958"/>
      <c r="O8" s="1605"/>
      <c r="P8" s="1605"/>
      <c r="Q8" s="1605"/>
      <c r="R8" s="1605"/>
      <c r="S8" s="1605"/>
      <c r="T8" s="1605"/>
      <c r="U8" s="1605"/>
      <c r="V8" s="1605"/>
      <c r="W8" s="1605"/>
      <c r="X8" s="1605"/>
      <c r="Y8" s="1605"/>
      <c r="Z8" s="1605"/>
      <c r="AA8" s="1605"/>
      <c r="AB8" s="1605"/>
      <c r="AC8" s="1605"/>
      <c r="AD8" s="1605"/>
      <c r="AE8" s="1605"/>
      <c r="AF8" s="1605"/>
      <c r="AG8" s="1605"/>
      <c r="AH8" s="1605"/>
      <c r="AI8" s="1605"/>
      <c r="AJ8" s="1605"/>
      <c r="AK8" s="1605"/>
      <c r="AL8" s="1605"/>
      <c r="AM8" s="1605"/>
      <c r="AN8" s="1605"/>
      <c r="AO8" s="1603"/>
      <c r="AP8" s="1603"/>
      <c r="AQ8" s="1603"/>
      <c r="BA8" s="1959"/>
    </row>
    <row r="9" spans="1:76" ht="9.75" customHeight="1" x14ac:dyDescent="0.2">
      <c r="A9" s="1606"/>
      <c r="B9" s="1606"/>
      <c r="C9" s="1606"/>
      <c r="D9" s="1606"/>
      <c r="E9" s="1563"/>
      <c r="F9" s="1563"/>
      <c r="G9" s="1563"/>
      <c r="H9" s="1563"/>
      <c r="I9" s="1563"/>
      <c r="J9" s="1606"/>
      <c r="K9" s="1656"/>
      <c r="L9" s="1656"/>
      <c r="M9" s="1606"/>
      <c r="N9" s="1606"/>
      <c r="O9" s="1656"/>
      <c r="P9" s="1656"/>
      <c r="Q9" s="1606"/>
      <c r="R9" s="1606"/>
      <c r="S9" s="1656"/>
      <c r="T9" s="1656"/>
      <c r="U9" s="1606"/>
      <c r="V9" s="1606"/>
      <c r="W9" s="1606"/>
      <c r="X9" s="1656"/>
      <c r="Y9" s="1606"/>
      <c r="Z9" s="1606"/>
      <c r="AA9" s="1606"/>
      <c r="AB9" s="1656"/>
      <c r="AC9" s="1606"/>
      <c r="AD9" s="1656"/>
      <c r="AE9" s="1606"/>
      <c r="AF9" s="1656"/>
      <c r="AG9" s="1606"/>
      <c r="AH9" s="1656"/>
      <c r="AI9" s="1606"/>
      <c r="AJ9" s="1656"/>
      <c r="AK9" s="1606"/>
      <c r="AL9" s="1656"/>
      <c r="AM9" s="1606"/>
      <c r="AN9" s="1606"/>
      <c r="AO9" s="1603"/>
      <c r="AP9" s="1603"/>
      <c r="AQ9" s="1603"/>
      <c r="BA9" s="1657"/>
      <c r="BB9" s="1657"/>
    </row>
    <row r="10" spans="1:76" x14ac:dyDescent="0.2">
      <c r="A10" s="1607" t="s">
        <v>1</v>
      </c>
      <c r="B10" s="1608"/>
      <c r="C10" s="2486" t="s">
        <v>456</v>
      </c>
      <c r="D10" s="2487"/>
      <c r="E10" s="1565"/>
      <c r="F10" s="1566"/>
      <c r="G10" s="1566"/>
      <c r="H10" s="1566"/>
      <c r="I10" s="2321"/>
      <c r="J10" s="1659"/>
      <c r="M10" s="1658"/>
      <c r="N10" s="1659"/>
      <c r="Q10" s="1658"/>
      <c r="R10" s="1659"/>
      <c r="U10" s="1658"/>
      <c r="V10" s="1659"/>
      <c r="W10" s="1659"/>
      <c r="Y10" s="1658"/>
      <c r="Z10" s="1659"/>
      <c r="AA10" s="1659"/>
      <c r="AC10" s="1658"/>
      <c r="AD10" s="1659"/>
      <c r="AE10" s="1659"/>
      <c r="AG10" s="1658"/>
      <c r="AH10" s="1659"/>
      <c r="AI10" s="1659"/>
      <c r="AK10" s="1658"/>
      <c r="AM10" s="1659"/>
      <c r="AN10" s="1659"/>
      <c r="AO10" s="1658"/>
      <c r="AP10" s="1659"/>
      <c r="AQ10" s="1659"/>
      <c r="AR10" s="1659"/>
      <c r="AS10" s="1659"/>
      <c r="AT10" s="1660"/>
      <c r="AU10" s="1658"/>
      <c r="AV10" s="1658"/>
      <c r="AW10" s="1658"/>
      <c r="AX10" s="1832"/>
      <c r="AY10" s="1006" t="s">
        <v>448</v>
      </c>
      <c r="AZ10" s="1006"/>
      <c r="BA10" s="1006" t="s">
        <v>441</v>
      </c>
      <c r="BB10" s="1007"/>
      <c r="BC10" s="1662"/>
      <c r="BD10" s="1663"/>
      <c r="BE10" s="1663"/>
      <c r="BF10" s="1663"/>
      <c r="BG10" s="1663"/>
      <c r="BH10" s="1663"/>
      <c r="BI10" s="1663"/>
      <c r="BJ10" s="1663"/>
      <c r="BK10" s="1663"/>
      <c r="BL10" s="1660"/>
      <c r="BM10" s="1664"/>
      <c r="BN10" s="1663"/>
      <c r="BO10" s="1665"/>
      <c r="BP10" s="1665"/>
      <c r="BQ10" s="1666"/>
    </row>
    <row r="11" spans="1:76" ht="13.5" x14ac:dyDescent="0.2">
      <c r="A11" s="1607" t="s">
        <v>2</v>
      </c>
      <c r="B11" s="1608"/>
      <c r="C11" s="2478" t="s">
        <v>39</v>
      </c>
      <c r="D11" s="2479"/>
      <c r="E11" s="1568"/>
      <c r="F11" s="925" t="s">
        <v>452</v>
      </c>
      <c r="G11" s="925" t="s">
        <v>453</v>
      </c>
      <c r="H11" s="925" t="s">
        <v>454</v>
      </c>
      <c r="I11" s="2281" t="s">
        <v>455</v>
      </c>
      <c r="J11" s="1010" t="s">
        <v>399</v>
      </c>
      <c r="K11" s="1010" t="s">
        <v>398</v>
      </c>
      <c r="L11" s="1010" t="s">
        <v>397</v>
      </c>
      <c r="M11" s="1011" t="s">
        <v>395</v>
      </c>
      <c r="N11" s="1010" t="s">
        <v>373</v>
      </c>
      <c r="O11" s="1010" t="s">
        <v>374</v>
      </c>
      <c r="P11" s="1010" t="s">
        <v>375</v>
      </c>
      <c r="Q11" s="1011" t="s">
        <v>376</v>
      </c>
      <c r="R11" s="1667" t="s">
        <v>330</v>
      </c>
      <c r="S11" s="1667" t="s">
        <v>329</v>
      </c>
      <c r="T11" s="1667" t="s">
        <v>328</v>
      </c>
      <c r="U11" s="1668" t="s">
        <v>326</v>
      </c>
      <c r="V11" s="1667" t="s">
        <v>282</v>
      </c>
      <c r="W11" s="1667" t="s">
        <v>283</v>
      </c>
      <c r="X11" s="1667" t="s">
        <v>284</v>
      </c>
      <c r="Y11" s="1668" t="s">
        <v>285</v>
      </c>
      <c r="Z11" s="1667" t="s">
        <v>220</v>
      </c>
      <c r="AA11" s="1667" t="s">
        <v>221</v>
      </c>
      <c r="AB11" s="1667" t="s">
        <v>222</v>
      </c>
      <c r="AC11" s="1668" t="s">
        <v>219</v>
      </c>
      <c r="AD11" s="1667" t="s">
        <v>185</v>
      </c>
      <c r="AE11" s="1667" t="s">
        <v>186</v>
      </c>
      <c r="AF11" s="1667" t="s">
        <v>187</v>
      </c>
      <c r="AG11" s="1668" t="s">
        <v>188</v>
      </c>
      <c r="AH11" s="1667" t="s">
        <v>118</v>
      </c>
      <c r="AI11" s="1667" t="s">
        <v>117</v>
      </c>
      <c r="AJ11" s="1667" t="s">
        <v>116</v>
      </c>
      <c r="AK11" s="1668" t="s">
        <v>115</v>
      </c>
      <c r="AL11" s="1667" t="s">
        <v>83</v>
      </c>
      <c r="AM11" s="1667" t="s">
        <v>84</v>
      </c>
      <c r="AN11" s="1667" t="s">
        <v>85</v>
      </c>
      <c r="AO11" s="1668" t="s">
        <v>30</v>
      </c>
      <c r="AP11" s="1667" t="s">
        <v>31</v>
      </c>
      <c r="AQ11" s="1667" t="s">
        <v>32</v>
      </c>
      <c r="AR11" s="1667" t="s">
        <v>33</v>
      </c>
      <c r="AS11" s="1667" t="s">
        <v>34</v>
      </c>
      <c r="AT11" s="1669" t="s">
        <v>35</v>
      </c>
      <c r="AU11" s="1668" t="s">
        <v>36</v>
      </c>
      <c r="AV11" s="1668" t="s">
        <v>37</v>
      </c>
      <c r="AW11" s="1668" t="s">
        <v>38</v>
      </c>
      <c r="AX11" s="1661"/>
      <c r="AY11" s="1010" t="s">
        <v>399</v>
      </c>
      <c r="AZ11" s="1010" t="s">
        <v>373</v>
      </c>
      <c r="BA11" s="2453" t="s">
        <v>39</v>
      </c>
      <c r="BB11" s="2454"/>
      <c r="BC11" s="1671"/>
      <c r="BD11" s="1012" t="s">
        <v>438</v>
      </c>
      <c r="BE11" s="1012" t="s">
        <v>385</v>
      </c>
      <c r="BF11" s="1012" t="s">
        <v>332</v>
      </c>
      <c r="BG11" s="1672" t="s">
        <v>287</v>
      </c>
      <c r="BH11" s="1672" t="s">
        <v>224</v>
      </c>
      <c r="BI11" s="1672" t="s">
        <v>120</v>
      </c>
      <c r="BJ11" s="1672" t="s">
        <v>119</v>
      </c>
      <c r="BK11" s="1669" t="s">
        <v>43</v>
      </c>
      <c r="BL11" s="1669" t="s">
        <v>40</v>
      </c>
      <c r="BM11" s="1672" t="s">
        <v>41</v>
      </c>
      <c r="BN11" s="1672" t="s">
        <v>138</v>
      </c>
      <c r="BO11" s="1672" t="s">
        <v>139</v>
      </c>
      <c r="BP11" s="1672" t="s">
        <v>140</v>
      </c>
      <c r="BQ11" s="1666"/>
      <c r="BR11" s="1603"/>
      <c r="BS11" s="1560"/>
      <c r="BT11" s="1560"/>
      <c r="BU11" s="1560"/>
      <c r="BV11" s="1560"/>
      <c r="BW11" s="1560"/>
      <c r="BX11" s="1560"/>
    </row>
    <row r="12" spans="1:76" ht="12.75" customHeight="1" x14ac:dyDescent="0.2">
      <c r="A12" s="1611" t="s">
        <v>61</v>
      </c>
      <c r="B12" s="1612"/>
      <c r="C12" s="1613"/>
      <c r="D12" s="1614"/>
      <c r="E12" s="1572"/>
      <c r="F12" s="1573"/>
      <c r="G12" s="1573"/>
      <c r="H12" s="1573"/>
      <c r="I12" s="2322"/>
      <c r="J12" s="1633"/>
      <c r="K12" s="1633"/>
      <c r="L12" s="1633"/>
      <c r="M12" s="1614"/>
      <c r="N12" s="1633"/>
      <c r="O12" s="1633"/>
      <c r="P12" s="1633"/>
      <c r="Q12" s="1614"/>
      <c r="R12" s="1633"/>
      <c r="S12" s="1633"/>
      <c r="T12" s="1633"/>
      <c r="U12" s="1614"/>
      <c r="V12" s="1633"/>
      <c r="W12" s="1633"/>
      <c r="X12" s="1633"/>
      <c r="Y12" s="1614"/>
      <c r="Z12" s="1633"/>
      <c r="AA12" s="1633"/>
      <c r="AB12" s="1633"/>
      <c r="AC12" s="1614"/>
      <c r="AD12" s="1633"/>
      <c r="AE12" s="1633"/>
      <c r="AF12" s="1633"/>
      <c r="AG12" s="1614"/>
      <c r="AH12" s="1633"/>
      <c r="AI12" s="1633"/>
      <c r="AJ12" s="1633"/>
      <c r="AK12" s="1614"/>
      <c r="AL12" s="1633"/>
      <c r="AM12" s="1633"/>
      <c r="AN12" s="1633"/>
      <c r="AO12" s="1614"/>
      <c r="AP12" s="1888"/>
      <c r="AQ12" s="1633"/>
      <c r="AR12" s="1633"/>
      <c r="AS12" s="1614"/>
      <c r="AT12" s="1613"/>
      <c r="AU12" s="1614"/>
      <c r="AV12" s="1614"/>
      <c r="AW12" s="1614"/>
      <c r="AX12" s="1687"/>
      <c r="AY12" s="1633"/>
      <c r="AZ12" s="1633"/>
      <c r="BA12" s="1960"/>
      <c r="BB12" s="1961"/>
      <c r="BC12" s="1635"/>
      <c r="BD12" s="1687"/>
      <c r="BE12" s="1687"/>
      <c r="BF12" s="1687"/>
      <c r="BG12" s="1687"/>
      <c r="BH12" s="1687"/>
      <c r="BI12" s="1687"/>
      <c r="BJ12" s="1687"/>
      <c r="BK12" s="1687"/>
      <c r="BL12" s="1613"/>
      <c r="BM12" s="1687"/>
      <c r="BN12" s="1690"/>
      <c r="BO12" s="1691"/>
      <c r="BP12" s="1691"/>
      <c r="BQ12" s="1666"/>
      <c r="BR12" s="1603"/>
      <c r="BS12" s="1560"/>
      <c r="BT12" s="1560"/>
      <c r="BU12" s="1560"/>
      <c r="BV12" s="1560"/>
    </row>
    <row r="13" spans="1:76" ht="12.75" customHeight="1" x14ac:dyDescent="0.2">
      <c r="A13" s="1608"/>
      <c r="B13" s="1614" t="s">
        <v>400</v>
      </c>
      <c r="C13" s="1615">
        <v>-20715</v>
      </c>
      <c r="D13" s="1618">
        <v>-0.45796210731103398</v>
      </c>
      <c r="E13" s="1574"/>
      <c r="F13" s="1575"/>
      <c r="G13" s="1575"/>
      <c r="H13" s="1575"/>
      <c r="I13" s="2336">
        <v>24518</v>
      </c>
      <c r="J13" s="1694">
        <v>32531</v>
      </c>
      <c r="K13" s="1694">
        <v>29341</v>
      </c>
      <c r="L13" s="1694">
        <v>38339</v>
      </c>
      <c r="M13" s="1790">
        <v>45233</v>
      </c>
      <c r="N13" s="1694">
        <v>38594</v>
      </c>
      <c r="O13" s="1694">
        <v>23692</v>
      </c>
      <c r="P13" s="1694">
        <v>48910</v>
      </c>
      <c r="Q13" s="1790">
        <v>44746</v>
      </c>
      <c r="R13" s="1694">
        <v>63175</v>
      </c>
      <c r="S13" s="1694">
        <v>65707</v>
      </c>
      <c r="T13" s="1694">
        <v>42936</v>
      </c>
      <c r="U13" s="1790">
        <v>40489</v>
      </c>
      <c r="V13" s="1694">
        <v>45552</v>
      </c>
      <c r="W13" s="1500">
        <v>44248</v>
      </c>
      <c r="X13" s="1694">
        <v>39034</v>
      </c>
      <c r="Y13" s="1790">
        <v>29220</v>
      </c>
      <c r="Z13" s="1694">
        <v>19861</v>
      </c>
      <c r="AA13" s="1500">
        <v>12748</v>
      </c>
      <c r="AB13" s="1500">
        <v>9338</v>
      </c>
      <c r="AC13" s="1501">
        <v>9246</v>
      </c>
      <c r="AD13" s="1500">
        <v>34555</v>
      </c>
      <c r="AE13" s="1500">
        <v>23339</v>
      </c>
      <c r="AF13" s="1500">
        <v>18338</v>
      </c>
      <c r="AG13" s="1477"/>
      <c r="AH13" s="1694"/>
      <c r="AI13" s="1694"/>
      <c r="AJ13" s="1803"/>
      <c r="AK13" s="1790"/>
      <c r="AL13" s="1709"/>
      <c r="AM13" s="1709"/>
      <c r="AN13" s="1709"/>
      <c r="AO13" s="1790"/>
      <c r="AP13" s="1844"/>
      <c r="AQ13" s="1866"/>
      <c r="AR13" s="1866"/>
      <c r="AS13" s="1962"/>
      <c r="AT13" s="1963"/>
      <c r="AU13" s="1962"/>
      <c r="AV13" s="1962"/>
      <c r="AW13" s="1962"/>
      <c r="AX13" s="1687"/>
      <c r="AY13" s="1694">
        <v>145444</v>
      </c>
      <c r="AZ13" s="1694">
        <v>155942</v>
      </c>
      <c r="BA13" s="1701">
        <v>-10498</v>
      </c>
      <c r="BB13" s="1618">
        <v>-6.7319900988829173E-2</v>
      </c>
      <c r="BC13" s="1635"/>
      <c r="BD13" s="1807">
        <v>145444</v>
      </c>
      <c r="BE13" s="1793">
        <v>155942</v>
      </c>
      <c r="BF13" s="1793">
        <v>212307</v>
      </c>
      <c r="BG13" s="1793">
        <v>158054</v>
      </c>
      <c r="BH13" s="1793">
        <v>51193</v>
      </c>
      <c r="BI13" s="1964">
        <v>92677</v>
      </c>
      <c r="BJ13" s="1447">
        <v>82454</v>
      </c>
      <c r="BK13" s="1447">
        <v>72926</v>
      </c>
      <c r="BL13" s="1447">
        <v>118332</v>
      </c>
      <c r="BM13" s="1702">
        <v>187562</v>
      </c>
      <c r="BN13" s="1690">
        <v>150470</v>
      </c>
      <c r="BO13" s="1690">
        <v>95559</v>
      </c>
      <c r="BP13" s="1690"/>
      <c r="BQ13" s="1666"/>
      <c r="BR13" s="1603"/>
      <c r="BS13" s="1560"/>
      <c r="BT13" s="1560"/>
      <c r="BU13" s="1560"/>
      <c r="BV13" s="1560"/>
    </row>
    <row r="14" spans="1:76" ht="12.75" customHeight="1" x14ac:dyDescent="0.2">
      <c r="A14" s="1612"/>
      <c r="B14" s="1608"/>
      <c r="C14" s="1616">
        <v>-20715</v>
      </c>
      <c r="D14" s="1617">
        <v>-0.45796210731103398</v>
      </c>
      <c r="E14" s="1574"/>
      <c r="F14" s="1575">
        <v>0</v>
      </c>
      <c r="G14" s="1575">
        <v>0</v>
      </c>
      <c r="H14" s="1575">
        <v>0</v>
      </c>
      <c r="I14" s="2349">
        <v>24518</v>
      </c>
      <c r="J14" s="1694">
        <v>32531</v>
      </c>
      <c r="K14" s="1694">
        <v>29341</v>
      </c>
      <c r="L14" s="1694">
        <v>38339</v>
      </c>
      <c r="M14" s="1897">
        <v>45233</v>
      </c>
      <c r="N14" s="1694">
        <v>38594</v>
      </c>
      <c r="O14" s="1694">
        <v>23692</v>
      </c>
      <c r="P14" s="1694">
        <v>48910</v>
      </c>
      <c r="Q14" s="1897">
        <v>44746</v>
      </c>
      <c r="R14" s="1694">
        <v>63175</v>
      </c>
      <c r="S14" s="1694">
        <v>65707</v>
      </c>
      <c r="T14" s="1694">
        <v>42936</v>
      </c>
      <c r="U14" s="1897">
        <v>40489</v>
      </c>
      <c r="V14" s="1694">
        <v>45552</v>
      </c>
      <c r="W14" s="1694">
        <v>44248</v>
      </c>
      <c r="X14" s="1694">
        <v>39034</v>
      </c>
      <c r="Y14" s="1897">
        <v>29220</v>
      </c>
      <c r="Z14" s="1694">
        <v>19861</v>
      </c>
      <c r="AA14" s="1694">
        <v>12748</v>
      </c>
      <c r="AB14" s="1694">
        <v>9338</v>
      </c>
      <c r="AC14" s="1805">
        <v>9246</v>
      </c>
      <c r="AD14" s="1694">
        <v>34555</v>
      </c>
      <c r="AE14" s="1694">
        <v>23339</v>
      </c>
      <c r="AF14" s="1694">
        <v>18338</v>
      </c>
      <c r="AG14" s="1897"/>
      <c r="AH14" s="1694"/>
      <c r="AI14" s="1694"/>
      <c r="AJ14" s="1694"/>
      <c r="AK14" s="1897"/>
      <c r="AL14" s="1896"/>
      <c r="AM14" s="1896"/>
      <c r="AN14" s="1896"/>
      <c r="AO14" s="1897"/>
      <c r="AP14" s="1896"/>
      <c r="AQ14" s="1896"/>
      <c r="AR14" s="1896"/>
      <c r="AS14" s="1896"/>
      <c r="AT14" s="1898"/>
      <c r="AU14" s="1897"/>
      <c r="AV14" s="1897"/>
      <c r="AW14" s="1897"/>
      <c r="AX14" s="1687"/>
      <c r="AY14" s="1694">
        <v>145444</v>
      </c>
      <c r="AZ14" s="1694">
        <v>155942</v>
      </c>
      <c r="BA14" s="1706">
        <v>-10498</v>
      </c>
      <c r="BB14" s="1617">
        <v>-6.7319900988829173E-2</v>
      </c>
      <c r="BC14" s="1635"/>
      <c r="BD14" s="1801">
        <v>145444</v>
      </c>
      <c r="BE14" s="1707">
        <v>155942</v>
      </c>
      <c r="BF14" s="1707">
        <v>212307</v>
      </c>
      <c r="BG14" s="1707">
        <v>158054</v>
      </c>
      <c r="BH14" s="1707">
        <v>51193</v>
      </c>
      <c r="BI14" s="1707">
        <v>92677</v>
      </c>
      <c r="BJ14" s="1707">
        <f>BJ13</f>
        <v>82454</v>
      </c>
      <c r="BK14" s="1707">
        <f>BK13</f>
        <v>72926</v>
      </c>
      <c r="BL14" s="1707">
        <f>BL13</f>
        <v>118332</v>
      </c>
      <c r="BM14" s="1707">
        <v>187562</v>
      </c>
      <c r="BN14" s="1708">
        <v>150470</v>
      </c>
      <c r="BO14" s="1708">
        <f>BO13</f>
        <v>95559</v>
      </c>
      <c r="BP14" s="1708">
        <v>211758</v>
      </c>
      <c r="BQ14" s="1666"/>
      <c r="BS14" s="1560"/>
      <c r="BT14" s="1560"/>
      <c r="BU14" s="1560"/>
      <c r="BV14" s="1560"/>
    </row>
    <row r="15" spans="1:76" ht="12.75" customHeight="1" x14ac:dyDescent="0.2">
      <c r="A15" s="1611" t="s">
        <v>5</v>
      </c>
      <c r="B15" s="1608"/>
      <c r="C15" s="1615"/>
      <c r="D15" s="1618"/>
      <c r="E15" s="1574"/>
      <c r="F15" s="1579"/>
      <c r="G15" s="1579"/>
      <c r="H15" s="1579"/>
      <c r="I15" s="2336"/>
      <c r="J15" s="1709"/>
      <c r="K15" s="1709"/>
      <c r="L15" s="1709"/>
      <c r="M15" s="1790"/>
      <c r="N15" s="1709"/>
      <c r="O15" s="1709"/>
      <c r="P15" s="1709"/>
      <c r="Q15" s="1790"/>
      <c r="R15" s="1709"/>
      <c r="S15" s="1709"/>
      <c r="T15" s="1709"/>
      <c r="U15" s="1790"/>
      <c r="V15" s="1709"/>
      <c r="W15" s="1899"/>
      <c r="X15" s="1709"/>
      <c r="Y15" s="1790"/>
      <c r="Z15" s="1709"/>
      <c r="AA15" s="1899"/>
      <c r="AB15" s="1709"/>
      <c r="AC15" s="1790"/>
      <c r="AD15" s="1709"/>
      <c r="AE15" s="1899"/>
      <c r="AF15" s="1709"/>
      <c r="AG15" s="1790"/>
      <c r="AH15" s="1709"/>
      <c r="AI15" s="1899"/>
      <c r="AJ15" s="1709"/>
      <c r="AK15" s="1790"/>
      <c r="AL15" s="1899"/>
      <c r="AM15" s="1899"/>
      <c r="AN15" s="1899"/>
      <c r="AO15" s="1791"/>
      <c r="AP15" s="1788"/>
      <c r="AQ15" s="1788"/>
      <c r="AR15" s="1788"/>
      <c r="AS15" s="1788"/>
      <c r="AT15" s="1795"/>
      <c r="AU15" s="1790"/>
      <c r="AV15" s="1790"/>
      <c r="AW15" s="1790"/>
      <c r="AX15" s="1687"/>
      <c r="AY15" s="1709"/>
      <c r="AZ15" s="1709"/>
      <c r="BA15" s="1701"/>
      <c r="BB15" s="1618"/>
      <c r="BC15" s="1635"/>
      <c r="BD15" s="1714"/>
      <c r="BE15" s="1714"/>
      <c r="BF15" s="1714"/>
      <c r="BG15" s="1714"/>
      <c r="BH15" s="1714"/>
      <c r="BI15" s="1714"/>
      <c r="BJ15" s="1714"/>
      <c r="BK15" s="1714"/>
      <c r="BL15" s="1702"/>
      <c r="BM15" s="1702"/>
      <c r="BN15" s="1715"/>
      <c r="BO15" s="1715"/>
      <c r="BP15" s="1715"/>
      <c r="BQ15" s="1666"/>
      <c r="BS15" s="1560"/>
      <c r="BT15" s="1560"/>
      <c r="BU15" s="1560"/>
      <c r="BV15" s="1560"/>
    </row>
    <row r="16" spans="1:76" ht="12.75" customHeight="1" x14ac:dyDescent="0.2">
      <c r="A16" s="1611"/>
      <c r="B16" s="1608" t="s">
        <v>354</v>
      </c>
      <c r="C16" s="1615">
        <v>-8766</v>
      </c>
      <c r="D16" s="1618">
        <v>-0.33798581122763727</v>
      </c>
      <c r="E16" s="1574"/>
      <c r="F16" s="1579"/>
      <c r="G16" s="1579"/>
      <c r="H16" s="1579"/>
      <c r="I16" s="2357">
        <v>17170</v>
      </c>
      <c r="J16" s="1709">
        <v>16950</v>
      </c>
      <c r="K16" s="1709">
        <v>24963</v>
      </c>
      <c r="L16" s="1709">
        <v>20410</v>
      </c>
      <c r="M16" s="1965">
        <v>25936</v>
      </c>
      <c r="N16" s="1709">
        <v>26454</v>
      </c>
      <c r="O16" s="1709">
        <v>17707</v>
      </c>
      <c r="P16" s="1709">
        <v>24445</v>
      </c>
      <c r="Q16" s="1965">
        <v>21416</v>
      </c>
      <c r="R16" s="1709">
        <v>30712</v>
      </c>
      <c r="S16" s="1709">
        <v>29546</v>
      </c>
      <c r="T16" s="1709">
        <v>20354</v>
      </c>
      <c r="U16" s="1965">
        <v>15804</v>
      </c>
      <c r="V16" s="1709">
        <v>23564</v>
      </c>
      <c r="W16" s="1709">
        <v>20627</v>
      </c>
      <c r="X16" s="1709">
        <v>21105</v>
      </c>
      <c r="Y16" s="1965">
        <v>11868</v>
      </c>
      <c r="Z16" s="1709">
        <v>16143</v>
      </c>
      <c r="AA16" s="1709">
        <v>5356</v>
      </c>
      <c r="AB16" s="1709">
        <v>5606</v>
      </c>
      <c r="AC16" s="1790">
        <v>5085</v>
      </c>
      <c r="AD16" s="1709">
        <v>17779</v>
      </c>
      <c r="AE16" s="1709">
        <v>11299</v>
      </c>
      <c r="AF16" s="1709">
        <v>9187</v>
      </c>
      <c r="AG16" s="1790"/>
      <c r="AH16" s="1709"/>
      <c r="AI16" s="1709"/>
      <c r="AJ16" s="1709"/>
      <c r="AK16" s="1790"/>
      <c r="AL16" s="1709"/>
      <c r="AM16" s="1709"/>
      <c r="AN16" s="1709"/>
      <c r="AO16" s="1790"/>
      <c r="AP16" s="1788"/>
      <c r="AQ16" s="1788"/>
      <c r="AR16" s="1788"/>
      <c r="AS16" s="1788"/>
      <c r="AT16" s="1795"/>
      <c r="AU16" s="1790"/>
      <c r="AV16" s="1790"/>
      <c r="AW16" s="1790"/>
      <c r="AX16" s="1687"/>
      <c r="AY16" s="1709">
        <v>88259</v>
      </c>
      <c r="AZ16" s="1709">
        <v>90022</v>
      </c>
      <c r="BA16" s="1701">
        <v>-1763</v>
      </c>
      <c r="BB16" s="1618">
        <v>-1.9584101664037679E-2</v>
      </c>
      <c r="BC16" s="1635"/>
      <c r="BD16" s="1793">
        <v>88259</v>
      </c>
      <c r="BE16" s="1793">
        <v>90022</v>
      </c>
      <c r="BF16" s="1793">
        <v>96416</v>
      </c>
      <c r="BG16" s="1793">
        <v>77164</v>
      </c>
      <c r="BH16" s="1793">
        <v>32190</v>
      </c>
      <c r="BI16" s="1793">
        <v>45538</v>
      </c>
      <c r="BJ16" s="1793">
        <v>42535</v>
      </c>
      <c r="BK16" s="1793">
        <v>34016</v>
      </c>
      <c r="BL16" s="1793">
        <v>57211</v>
      </c>
      <c r="BM16" s="1702"/>
      <c r="BN16" s="1715"/>
      <c r="BO16" s="1715"/>
      <c r="BP16" s="1715"/>
      <c r="BQ16" s="1666"/>
      <c r="BS16" s="1560"/>
      <c r="BT16" s="1560"/>
      <c r="BU16" s="1560"/>
      <c r="BV16" s="1560"/>
    </row>
    <row r="17" spans="1:74" ht="12.75" customHeight="1" x14ac:dyDescent="0.2">
      <c r="A17" s="1611"/>
      <c r="B17" s="1608" t="s">
        <v>355</v>
      </c>
      <c r="C17" s="1619">
        <v>-253</v>
      </c>
      <c r="D17" s="1620">
        <v>-0.15204326923076922</v>
      </c>
      <c r="E17" s="1574"/>
      <c r="F17" s="1580"/>
      <c r="G17" s="1198"/>
      <c r="H17" s="1198"/>
      <c r="I17" s="2387">
        <v>1411</v>
      </c>
      <c r="J17" s="1721">
        <v>516</v>
      </c>
      <c r="K17" s="1300">
        <v>1359</v>
      </c>
      <c r="L17" s="1300">
        <v>1312</v>
      </c>
      <c r="M17" s="1805">
        <v>1664</v>
      </c>
      <c r="N17" s="1721">
        <v>1884</v>
      </c>
      <c r="O17" s="1300">
        <v>2336</v>
      </c>
      <c r="P17" s="1300">
        <v>2572</v>
      </c>
      <c r="Q17" s="1805">
        <v>3403</v>
      </c>
      <c r="R17" s="1721">
        <v>2564</v>
      </c>
      <c r="S17" s="1300">
        <v>3951</v>
      </c>
      <c r="T17" s="1300">
        <v>1085</v>
      </c>
      <c r="U17" s="1805">
        <v>2323</v>
      </c>
      <c r="V17" s="1721">
        <v>3356</v>
      </c>
      <c r="W17" s="1721">
        <v>3313</v>
      </c>
      <c r="X17" s="1721">
        <v>3095</v>
      </c>
      <c r="Y17" s="1805">
        <v>6575</v>
      </c>
      <c r="Z17" s="1721">
        <v>-1761</v>
      </c>
      <c r="AA17" s="1721">
        <v>1073</v>
      </c>
      <c r="AB17" s="1721">
        <v>855</v>
      </c>
      <c r="AC17" s="1805">
        <v>1124</v>
      </c>
      <c r="AD17" s="1721">
        <v>-521</v>
      </c>
      <c r="AE17" s="1721">
        <v>1670</v>
      </c>
      <c r="AF17" s="1721">
        <v>466</v>
      </c>
      <c r="AG17" s="1790"/>
      <c r="AH17" s="1709"/>
      <c r="AI17" s="1709"/>
      <c r="AJ17" s="1709"/>
      <c r="AK17" s="1790"/>
      <c r="AL17" s="1709"/>
      <c r="AM17" s="1709"/>
      <c r="AN17" s="1709"/>
      <c r="AO17" s="1790"/>
      <c r="AP17" s="1788"/>
      <c r="AQ17" s="1788"/>
      <c r="AR17" s="1788"/>
      <c r="AS17" s="1788"/>
      <c r="AT17" s="1795"/>
      <c r="AU17" s="1790"/>
      <c r="AV17" s="1790"/>
      <c r="AW17" s="1790"/>
      <c r="AX17" s="1687"/>
      <c r="AY17" s="1721">
        <v>4851</v>
      </c>
      <c r="AZ17" s="1721">
        <v>10195</v>
      </c>
      <c r="BA17" s="1722">
        <v>-5344</v>
      </c>
      <c r="BB17" s="1620">
        <v>-0.52417851888180478</v>
      </c>
      <c r="BC17" s="1635"/>
      <c r="BD17" s="1807">
        <v>4851</v>
      </c>
      <c r="BE17" s="1807">
        <v>10195</v>
      </c>
      <c r="BF17" s="1807">
        <v>9923</v>
      </c>
      <c r="BG17" s="1807">
        <v>16339</v>
      </c>
      <c r="BH17" s="1807">
        <v>1291</v>
      </c>
      <c r="BI17" s="1807">
        <v>2379</v>
      </c>
      <c r="BJ17" s="1807">
        <v>3440</v>
      </c>
      <c r="BK17" s="1807">
        <v>1964</v>
      </c>
      <c r="BL17" s="1807">
        <v>4067</v>
      </c>
      <c r="BM17" s="1702"/>
      <c r="BN17" s="1715"/>
      <c r="BO17" s="1715"/>
      <c r="BP17" s="1715"/>
      <c r="BQ17" s="1666"/>
      <c r="BS17" s="1560"/>
      <c r="BT17" s="1560"/>
      <c r="BU17" s="1560"/>
      <c r="BV17" s="1560"/>
    </row>
    <row r="18" spans="1:74" ht="12.75" customHeight="1" x14ac:dyDescent="0.2">
      <c r="A18" s="1612"/>
      <c r="B18" s="1228" t="s">
        <v>209</v>
      </c>
      <c r="C18" s="1615">
        <v>-9019</v>
      </c>
      <c r="D18" s="1618">
        <v>-0.32677536231884058</v>
      </c>
      <c r="E18" s="1574"/>
      <c r="F18" s="1579">
        <v>0</v>
      </c>
      <c r="G18" s="1579">
        <v>0</v>
      </c>
      <c r="H18" s="1579">
        <v>0</v>
      </c>
      <c r="I18" s="2336">
        <v>18581</v>
      </c>
      <c r="J18" s="1709">
        <v>17466</v>
      </c>
      <c r="K18" s="1709">
        <v>26322</v>
      </c>
      <c r="L18" s="1709">
        <v>21722</v>
      </c>
      <c r="M18" s="1790">
        <v>27600</v>
      </c>
      <c r="N18" s="1478">
        <v>28338</v>
      </c>
      <c r="O18" s="1709">
        <v>20043</v>
      </c>
      <c r="P18" s="1709">
        <v>27017</v>
      </c>
      <c r="Q18" s="1790">
        <v>24819</v>
      </c>
      <c r="R18" s="1478">
        <v>33276</v>
      </c>
      <c r="S18" s="1709">
        <v>33497</v>
      </c>
      <c r="T18" s="1709">
        <v>21439</v>
      </c>
      <c r="U18" s="1790">
        <v>18127</v>
      </c>
      <c r="V18" s="1478">
        <v>26920</v>
      </c>
      <c r="W18" s="1478">
        <v>23940</v>
      </c>
      <c r="X18" s="1709">
        <v>24200</v>
      </c>
      <c r="Y18" s="1790">
        <v>18443</v>
      </c>
      <c r="Z18" s="1709">
        <v>14382</v>
      </c>
      <c r="AA18" s="1478">
        <v>6429</v>
      </c>
      <c r="AB18" s="1478">
        <v>6461</v>
      </c>
      <c r="AC18" s="1477">
        <v>6209</v>
      </c>
      <c r="AD18" s="1478">
        <v>17258</v>
      </c>
      <c r="AE18" s="1478">
        <v>12969</v>
      </c>
      <c r="AF18" s="1478">
        <v>9652</v>
      </c>
      <c r="AG18" s="1477"/>
      <c r="AH18" s="1709"/>
      <c r="AI18" s="1709"/>
      <c r="AJ18" s="1709"/>
      <c r="AK18" s="1790"/>
      <c r="AL18" s="1709"/>
      <c r="AM18" s="1709"/>
      <c r="AN18" s="1709"/>
      <c r="AO18" s="1790"/>
      <c r="AP18" s="1788"/>
      <c r="AQ18" s="1788"/>
      <c r="AR18" s="1788"/>
      <c r="AS18" s="1788"/>
      <c r="AT18" s="1795"/>
      <c r="AU18" s="1790"/>
      <c r="AV18" s="1790"/>
      <c r="AW18" s="1790"/>
      <c r="AX18" s="1687"/>
      <c r="AY18" s="1709">
        <v>93110</v>
      </c>
      <c r="AZ18" s="1788">
        <v>100217</v>
      </c>
      <c r="BA18" s="1701">
        <v>-7107</v>
      </c>
      <c r="BB18" s="1618">
        <v>-7.0916112036879975E-2</v>
      </c>
      <c r="BC18" s="1635"/>
      <c r="BD18" s="2247">
        <v>93110</v>
      </c>
      <c r="BE18" s="1793">
        <v>100217</v>
      </c>
      <c r="BF18" s="1793">
        <v>106339</v>
      </c>
      <c r="BG18" s="1793">
        <v>93503</v>
      </c>
      <c r="BH18" s="1793">
        <v>33481</v>
      </c>
      <c r="BI18" s="1964">
        <v>47917</v>
      </c>
      <c r="BJ18" s="1447">
        <v>45975</v>
      </c>
      <c r="BK18" s="1447">
        <v>35980</v>
      </c>
      <c r="BL18" s="1447">
        <v>61278</v>
      </c>
      <c r="BM18" s="1702">
        <v>98642</v>
      </c>
      <c r="BN18" s="1715">
        <v>82259</v>
      </c>
      <c r="BO18" s="1715">
        <v>47759</v>
      </c>
      <c r="BP18" s="1715">
        <v>120298</v>
      </c>
      <c r="BQ18" s="1666"/>
      <c r="BS18" s="1560"/>
      <c r="BT18" s="1560"/>
      <c r="BU18" s="1560"/>
      <c r="BV18" s="1560"/>
    </row>
    <row r="19" spans="1:74" ht="13.5" customHeight="1" x14ac:dyDescent="0.2">
      <c r="A19" s="1612"/>
      <c r="B19" s="1614" t="s">
        <v>66</v>
      </c>
      <c r="C19" s="1615">
        <v>-464</v>
      </c>
      <c r="D19" s="1618">
        <v>-0.24029000517866392</v>
      </c>
      <c r="E19" s="1574"/>
      <c r="F19" s="1579"/>
      <c r="G19" s="1579"/>
      <c r="H19" s="1579"/>
      <c r="I19" s="2336">
        <v>1467</v>
      </c>
      <c r="J19" s="1709">
        <v>1719</v>
      </c>
      <c r="K19" s="1709">
        <v>1816</v>
      </c>
      <c r="L19" s="1709">
        <v>1757</v>
      </c>
      <c r="M19" s="1790">
        <v>1931</v>
      </c>
      <c r="N19" s="1709">
        <v>1511</v>
      </c>
      <c r="O19" s="1709">
        <v>1842</v>
      </c>
      <c r="P19" s="1709">
        <v>1848</v>
      </c>
      <c r="Q19" s="1790">
        <v>1836</v>
      </c>
      <c r="R19" s="1709">
        <v>4305</v>
      </c>
      <c r="S19" s="1709">
        <v>4493</v>
      </c>
      <c r="T19" s="1709">
        <v>3714</v>
      </c>
      <c r="U19" s="1790">
        <v>4159</v>
      </c>
      <c r="V19" s="1709">
        <v>4026</v>
      </c>
      <c r="W19" s="1478">
        <v>3969</v>
      </c>
      <c r="X19" s="1709">
        <v>3480</v>
      </c>
      <c r="Y19" s="1790">
        <v>4118</v>
      </c>
      <c r="Z19" s="1709">
        <v>1739</v>
      </c>
      <c r="AA19" s="1478">
        <v>1253</v>
      </c>
      <c r="AB19" s="1478">
        <v>1213</v>
      </c>
      <c r="AC19" s="1477">
        <v>1267</v>
      </c>
      <c r="AD19" s="1478">
        <v>1248</v>
      </c>
      <c r="AE19" s="1478">
        <v>1303</v>
      </c>
      <c r="AF19" s="1478">
        <v>1255</v>
      </c>
      <c r="AG19" s="1477"/>
      <c r="AH19" s="1709"/>
      <c r="AI19" s="1709"/>
      <c r="AJ19" s="1709"/>
      <c r="AK19" s="1790"/>
      <c r="AL19" s="1709"/>
      <c r="AM19" s="1709"/>
      <c r="AN19" s="1709"/>
      <c r="AO19" s="1790"/>
      <c r="AP19" s="1788"/>
      <c r="AQ19" s="1788"/>
      <c r="AR19" s="1788"/>
      <c r="AS19" s="1788"/>
      <c r="AT19" s="1795"/>
      <c r="AU19" s="1790"/>
      <c r="AV19" s="1790"/>
      <c r="AW19" s="1790"/>
      <c r="AX19" s="1687"/>
      <c r="AY19" s="1709">
        <v>7223</v>
      </c>
      <c r="AZ19" s="1709">
        <v>7037</v>
      </c>
      <c r="BA19" s="1701">
        <v>186</v>
      </c>
      <c r="BB19" s="1618">
        <v>2.643171806167401E-2</v>
      </c>
      <c r="BC19" s="1635"/>
      <c r="BD19" s="1793">
        <v>7223</v>
      </c>
      <c r="BE19" s="1793">
        <v>7037</v>
      </c>
      <c r="BF19" s="1793">
        <v>16671</v>
      </c>
      <c r="BG19" s="1793">
        <v>15593</v>
      </c>
      <c r="BH19" s="1793">
        <v>5472</v>
      </c>
      <c r="BI19" s="1054">
        <v>5048</v>
      </c>
      <c r="BJ19" s="1054">
        <v>6445</v>
      </c>
      <c r="BK19" s="1447">
        <v>5563</v>
      </c>
      <c r="BL19" s="1447">
        <v>4547</v>
      </c>
      <c r="BM19" s="1702">
        <v>1847</v>
      </c>
      <c r="BN19" s="1715">
        <v>2414</v>
      </c>
      <c r="BO19" s="1715">
        <v>6699</v>
      </c>
      <c r="BP19" s="1715">
        <v>12517</v>
      </c>
      <c r="BQ19" s="1666"/>
      <c r="BS19" s="1560"/>
      <c r="BT19" s="1560"/>
      <c r="BU19" s="1560"/>
      <c r="BV19" s="1560"/>
    </row>
    <row r="20" spans="1:74" ht="12.75" customHeight="1" x14ac:dyDescent="0.2">
      <c r="A20" s="1612"/>
      <c r="B20" s="1614" t="s">
        <v>92</v>
      </c>
      <c r="C20" s="1615">
        <v>-69</v>
      </c>
      <c r="D20" s="1621">
        <v>-6.1061946902654866E-2</v>
      </c>
      <c r="E20" s="1574"/>
      <c r="F20" s="1579"/>
      <c r="G20" s="1579"/>
      <c r="H20" s="1579"/>
      <c r="I20" s="2336">
        <v>1061</v>
      </c>
      <c r="J20" s="1709">
        <v>1269</v>
      </c>
      <c r="K20" s="1709">
        <v>1022</v>
      </c>
      <c r="L20" s="1709">
        <v>996</v>
      </c>
      <c r="M20" s="1790">
        <v>1130</v>
      </c>
      <c r="N20" s="1709">
        <v>888</v>
      </c>
      <c r="O20" s="1709">
        <v>1097</v>
      </c>
      <c r="P20" s="1709">
        <v>931</v>
      </c>
      <c r="Q20" s="1790">
        <v>960</v>
      </c>
      <c r="R20" s="1709">
        <v>980</v>
      </c>
      <c r="S20" s="1709">
        <v>863</v>
      </c>
      <c r="T20" s="1709">
        <v>945</v>
      </c>
      <c r="U20" s="1790">
        <v>1041</v>
      </c>
      <c r="V20" s="1709">
        <v>634</v>
      </c>
      <c r="W20" s="1478">
        <v>527</v>
      </c>
      <c r="X20" s="1709">
        <v>624</v>
      </c>
      <c r="Y20" s="1790">
        <v>872</v>
      </c>
      <c r="Z20" s="1709">
        <v>657</v>
      </c>
      <c r="AA20" s="1478">
        <v>809</v>
      </c>
      <c r="AB20" s="1478">
        <v>940</v>
      </c>
      <c r="AC20" s="1477">
        <v>1024</v>
      </c>
      <c r="AD20" s="1478">
        <v>983</v>
      </c>
      <c r="AE20" s="1478">
        <v>870</v>
      </c>
      <c r="AF20" s="1478">
        <v>841</v>
      </c>
      <c r="AG20" s="1477"/>
      <c r="AH20" s="1709"/>
      <c r="AI20" s="1709"/>
      <c r="AJ20" s="1709"/>
      <c r="AK20" s="1790"/>
      <c r="AL20" s="1709"/>
      <c r="AM20" s="1709"/>
      <c r="AN20" s="1709"/>
      <c r="AO20" s="1790"/>
      <c r="AP20" s="1788"/>
      <c r="AQ20" s="1788"/>
      <c r="AR20" s="1788"/>
      <c r="AS20" s="1788"/>
      <c r="AT20" s="1795"/>
      <c r="AU20" s="1790"/>
      <c r="AV20" s="1790"/>
      <c r="AW20" s="1790"/>
      <c r="AX20" s="1687"/>
      <c r="AY20" s="1709">
        <v>4417</v>
      </c>
      <c r="AZ20" s="1709">
        <v>3876</v>
      </c>
      <c r="BA20" s="1701">
        <v>541</v>
      </c>
      <c r="BB20" s="1618">
        <v>0.13957688338493293</v>
      </c>
      <c r="BC20" s="1635"/>
      <c r="BD20" s="1793">
        <v>4417</v>
      </c>
      <c r="BE20" s="1793">
        <v>3876</v>
      </c>
      <c r="BF20" s="1793">
        <v>3829</v>
      </c>
      <c r="BG20" s="1793">
        <v>2657</v>
      </c>
      <c r="BH20" s="1793">
        <v>3430</v>
      </c>
      <c r="BI20" s="1054">
        <v>3514</v>
      </c>
      <c r="BJ20" s="1054">
        <v>3552</v>
      </c>
      <c r="BK20" s="1447">
        <v>2941</v>
      </c>
      <c r="BL20" s="1447">
        <v>2179</v>
      </c>
      <c r="BM20" s="1702">
        <v>2191</v>
      </c>
      <c r="BN20" s="1715">
        <v>2896</v>
      </c>
      <c r="BO20" s="1715">
        <v>1887</v>
      </c>
      <c r="BP20" s="1715">
        <v>3440</v>
      </c>
      <c r="BQ20" s="1666"/>
      <c r="BS20" s="1560"/>
      <c r="BT20" s="1560"/>
      <c r="BU20" s="1560"/>
      <c r="BV20" s="1560"/>
    </row>
    <row r="21" spans="1:74" ht="12.75" customHeight="1" x14ac:dyDescent="0.2">
      <c r="A21" s="1612"/>
      <c r="B21" s="1614" t="s">
        <v>68</v>
      </c>
      <c r="C21" s="1615">
        <v>-436</v>
      </c>
      <c r="D21" s="1621">
        <v>-0.19560340960071781</v>
      </c>
      <c r="E21" s="1574"/>
      <c r="F21" s="1579"/>
      <c r="G21" s="1579"/>
      <c r="H21" s="1579"/>
      <c r="I21" s="2336">
        <v>1793</v>
      </c>
      <c r="J21" s="1709">
        <v>2178</v>
      </c>
      <c r="K21" s="1709">
        <v>2048</v>
      </c>
      <c r="L21" s="1709">
        <v>2101</v>
      </c>
      <c r="M21" s="1790">
        <v>2229</v>
      </c>
      <c r="N21" s="1709">
        <v>2374</v>
      </c>
      <c r="O21" s="1709">
        <v>2162</v>
      </c>
      <c r="P21" s="1709">
        <v>2369</v>
      </c>
      <c r="Q21" s="1790">
        <v>2399</v>
      </c>
      <c r="R21" s="1709">
        <v>1647</v>
      </c>
      <c r="S21" s="1709">
        <v>2954</v>
      </c>
      <c r="T21" s="1709">
        <v>2769</v>
      </c>
      <c r="U21" s="1790">
        <v>2426</v>
      </c>
      <c r="V21" s="1709">
        <v>3021</v>
      </c>
      <c r="W21" s="1478">
        <v>2816</v>
      </c>
      <c r="X21" s="1709">
        <v>3028</v>
      </c>
      <c r="Y21" s="1790">
        <v>3158</v>
      </c>
      <c r="Z21" s="1709">
        <v>1234</v>
      </c>
      <c r="AA21" s="1478">
        <v>861</v>
      </c>
      <c r="AB21" s="1478">
        <v>875</v>
      </c>
      <c r="AC21" s="1477">
        <v>960</v>
      </c>
      <c r="AD21" s="1478">
        <v>855</v>
      </c>
      <c r="AE21" s="1478">
        <v>870</v>
      </c>
      <c r="AF21" s="1478">
        <v>875</v>
      </c>
      <c r="AG21" s="1477"/>
      <c r="AH21" s="1709"/>
      <c r="AI21" s="1709"/>
      <c r="AJ21" s="1709"/>
      <c r="AK21" s="1790"/>
      <c r="AL21" s="1709"/>
      <c r="AM21" s="1709"/>
      <c r="AN21" s="1709"/>
      <c r="AO21" s="1790"/>
      <c r="AP21" s="1788"/>
      <c r="AQ21" s="1788"/>
      <c r="AR21" s="1788"/>
      <c r="AS21" s="1788"/>
      <c r="AT21" s="1795"/>
      <c r="AU21" s="1790"/>
      <c r="AV21" s="1790"/>
      <c r="AW21" s="1790"/>
      <c r="AX21" s="1687"/>
      <c r="AY21" s="1709">
        <v>8556</v>
      </c>
      <c r="AZ21" s="1709">
        <v>9304</v>
      </c>
      <c r="BA21" s="1701">
        <v>-748</v>
      </c>
      <c r="BB21" s="1618">
        <v>-8.0395528804815139E-2</v>
      </c>
      <c r="BC21" s="1635"/>
      <c r="BD21" s="1793">
        <v>8556</v>
      </c>
      <c r="BE21" s="1793">
        <v>9304</v>
      </c>
      <c r="BF21" s="1793">
        <v>9796</v>
      </c>
      <c r="BG21" s="1793">
        <v>12023</v>
      </c>
      <c r="BH21" s="1793">
        <v>3930</v>
      </c>
      <c r="BI21" s="1054">
        <v>3474</v>
      </c>
      <c r="BJ21" s="1054">
        <v>3842</v>
      </c>
      <c r="BK21" s="1447">
        <v>4046</v>
      </c>
      <c r="BL21" s="1447">
        <v>3227</v>
      </c>
      <c r="BM21" s="1702">
        <v>3000</v>
      </c>
      <c r="BN21" s="1715">
        <v>2293</v>
      </c>
      <c r="BO21" s="1715">
        <v>1365</v>
      </c>
      <c r="BP21" s="1715">
        <v>4236</v>
      </c>
      <c r="BQ21" s="1666"/>
      <c r="BS21" s="1560"/>
      <c r="BT21" s="1560"/>
      <c r="BU21" s="1560"/>
      <c r="BV21" s="1560"/>
    </row>
    <row r="22" spans="1:74" ht="12.75" customHeight="1" x14ac:dyDescent="0.2">
      <c r="A22" s="1612"/>
      <c r="B22" s="1614" t="s">
        <v>69</v>
      </c>
      <c r="C22" s="1615">
        <v>-527</v>
      </c>
      <c r="D22" s="1621">
        <v>-0.14289587852494576</v>
      </c>
      <c r="E22" s="1574"/>
      <c r="F22" s="1579"/>
      <c r="G22" s="1579"/>
      <c r="H22" s="1579"/>
      <c r="I22" s="2336">
        <v>3161</v>
      </c>
      <c r="J22" s="1709">
        <v>3367</v>
      </c>
      <c r="K22" s="1709">
        <v>3389</v>
      </c>
      <c r="L22" s="1709">
        <v>3591</v>
      </c>
      <c r="M22" s="1790">
        <v>3688</v>
      </c>
      <c r="N22" s="1709">
        <v>3863</v>
      </c>
      <c r="O22" s="1709">
        <v>3481</v>
      </c>
      <c r="P22" s="1709">
        <v>3145</v>
      </c>
      <c r="Q22" s="1790">
        <v>2855</v>
      </c>
      <c r="R22" s="1709">
        <v>2745</v>
      </c>
      <c r="S22" s="1709">
        <v>2816</v>
      </c>
      <c r="T22" s="1709">
        <v>2586</v>
      </c>
      <c r="U22" s="1790">
        <v>2394</v>
      </c>
      <c r="V22" s="1709">
        <v>2901</v>
      </c>
      <c r="W22" s="1478">
        <v>3129</v>
      </c>
      <c r="X22" s="1709">
        <v>2870</v>
      </c>
      <c r="Y22" s="1790">
        <v>5139</v>
      </c>
      <c r="Z22" s="1709">
        <v>1661</v>
      </c>
      <c r="AA22" s="1478">
        <v>1399</v>
      </c>
      <c r="AB22" s="1478">
        <v>1479</v>
      </c>
      <c r="AC22" s="1477">
        <v>1345</v>
      </c>
      <c r="AD22" s="1478">
        <v>1313</v>
      </c>
      <c r="AE22" s="1478">
        <v>1310</v>
      </c>
      <c r="AF22" s="1478">
        <v>1340</v>
      </c>
      <c r="AG22" s="1477"/>
      <c r="AH22" s="1709"/>
      <c r="AI22" s="1709"/>
      <c r="AJ22" s="1709"/>
      <c r="AK22" s="1790"/>
      <c r="AL22" s="1709"/>
      <c r="AM22" s="1709"/>
      <c r="AN22" s="1709"/>
      <c r="AO22" s="1790"/>
      <c r="AP22" s="1788"/>
      <c r="AQ22" s="1788"/>
      <c r="AR22" s="1788"/>
      <c r="AS22" s="1788"/>
      <c r="AT22" s="1795"/>
      <c r="AU22" s="1790"/>
      <c r="AV22" s="1790"/>
      <c r="AW22" s="1790"/>
      <c r="AX22" s="1687"/>
      <c r="AY22" s="1709">
        <v>14035</v>
      </c>
      <c r="AZ22" s="1709">
        <v>13344</v>
      </c>
      <c r="BA22" s="1701">
        <v>691</v>
      </c>
      <c r="BB22" s="1618">
        <v>5.1783573141486808E-2</v>
      </c>
      <c r="BC22" s="1635"/>
      <c r="BD22" s="1793">
        <v>14035</v>
      </c>
      <c r="BE22" s="1793">
        <v>13344</v>
      </c>
      <c r="BF22" s="1793">
        <v>10541</v>
      </c>
      <c r="BG22" s="1793">
        <v>14039</v>
      </c>
      <c r="BH22" s="1793">
        <v>5884</v>
      </c>
      <c r="BI22" s="1054">
        <v>5143</v>
      </c>
      <c r="BJ22" s="1054">
        <v>2433</v>
      </c>
      <c r="BK22" s="1447">
        <v>2049</v>
      </c>
      <c r="BL22" s="1447">
        <v>2816</v>
      </c>
      <c r="BM22" s="1702">
        <v>3930</v>
      </c>
      <c r="BN22" s="1715">
        <v>2980</v>
      </c>
      <c r="BO22" s="1715">
        <v>2274</v>
      </c>
      <c r="BP22" s="1715">
        <v>4205</v>
      </c>
      <c r="BQ22" s="1666"/>
      <c r="BS22" s="1560"/>
      <c r="BT22" s="1560"/>
      <c r="BU22" s="1560"/>
      <c r="BV22" s="1560"/>
    </row>
    <row r="23" spans="1:74" ht="12.75" customHeight="1" x14ac:dyDescent="0.2">
      <c r="A23" s="1612"/>
      <c r="B23" s="1614" t="s">
        <v>64</v>
      </c>
      <c r="C23" s="1615">
        <v>-138</v>
      </c>
      <c r="D23" s="1618">
        <v>-0.2518248175182482</v>
      </c>
      <c r="E23" s="1574"/>
      <c r="F23" s="1579"/>
      <c r="G23" s="1579"/>
      <c r="H23" s="1579"/>
      <c r="I23" s="2336">
        <v>410</v>
      </c>
      <c r="J23" s="1709">
        <v>634</v>
      </c>
      <c r="K23" s="1709">
        <v>718</v>
      </c>
      <c r="L23" s="1709">
        <v>336</v>
      </c>
      <c r="M23" s="1790">
        <v>548</v>
      </c>
      <c r="N23" s="1709">
        <v>461</v>
      </c>
      <c r="O23" s="1709">
        <v>504</v>
      </c>
      <c r="P23" s="1709">
        <v>406</v>
      </c>
      <c r="Q23" s="1790">
        <v>496</v>
      </c>
      <c r="R23" s="1709">
        <v>558</v>
      </c>
      <c r="S23" s="1709">
        <v>526</v>
      </c>
      <c r="T23" s="1709">
        <v>697</v>
      </c>
      <c r="U23" s="1790">
        <v>929</v>
      </c>
      <c r="V23" s="1709">
        <v>831</v>
      </c>
      <c r="W23" s="1478">
        <v>782</v>
      </c>
      <c r="X23" s="1709">
        <v>916</v>
      </c>
      <c r="Y23" s="1790">
        <v>792</v>
      </c>
      <c r="Z23" s="1709">
        <v>153</v>
      </c>
      <c r="AA23" s="1478">
        <v>8</v>
      </c>
      <c r="AB23" s="1478">
        <v>17</v>
      </c>
      <c r="AC23" s="1477">
        <v>-9</v>
      </c>
      <c r="AD23" s="1478">
        <v>60</v>
      </c>
      <c r="AE23" s="1478">
        <v>12</v>
      </c>
      <c r="AF23" s="1478">
        <v>13</v>
      </c>
      <c r="AG23" s="1477"/>
      <c r="AH23" s="1709"/>
      <c r="AI23" s="1709"/>
      <c r="AJ23" s="1709"/>
      <c r="AK23" s="1790"/>
      <c r="AL23" s="1709"/>
      <c r="AM23" s="1709"/>
      <c r="AN23" s="1709"/>
      <c r="AO23" s="1790"/>
      <c r="AP23" s="1788"/>
      <c r="AQ23" s="1788"/>
      <c r="AR23" s="1788"/>
      <c r="AS23" s="1788"/>
      <c r="AT23" s="1795"/>
      <c r="AU23" s="1790"/>
      <c r="AV23" s="1790"/>
      <c r="AW23" s="1790"/>
      <c r="AX23" s="1687"/>
      <c r="AY23" s="1709">
        <v>2236</v>
      </c>
      <c r="AZ23" s="1709">
        <v>1867</v>
      </c>
      <c r="BA23" s="1701">
        <v>369</v>
      </c>
      <c r="BB23" s="1618">
        <v>0.19764327798607392</v>
      </c>
      <c r="BC23" s="1635"/>
      <c r="BD23" s="1793">
        <v>2236</v>
      </c>
      <c r="BE23" s="1793">
        <v>1867</v>
      </c>
      <c r="BF23" s="1793">
        <v>2710</v>
      </c>
      <c r="BG23" s="1793">
        <v>3321</v>
      </c>
      <c r="BH23" s="1793">
        <v>169</v>
      </c>
      <c r="BI23" s="1054">
        <v>102</v>
      </c>
      <c r="BJ23" s="1054">
        <v>74</v>
      </c>
      <c r="BK23" s="1447">
        <v>253</v>
      </c>
      <c r="BL23" s="1447">
        <v>-4</v>
      </c>
      <c r="BM23" s="1702">
        <v>551</v>
      </c>
      <c r="BN23" s="1715">
        <v>175</v>
      </c>
      <c r="BO23" s="1715">
        <v>114</v>
      </c>
      <c r="BP23" s="1715">
        <v>35</v>
      </c>
      <c r="BQ23" s="1603"/>
      <c r="BS23" s="1560"/>
      <c r="BT23" s="1560"/>
      <c r="BU23" s="1560"/>
      <c r="BV23" s="1560"/>
    </row>
    <row r="24" spans="1:74" ht="12.75" customHeight="1" x14ac:dyDescent="0.2">
      <c r="A24" s="1612"/>
      <c r="B24" s="1614" t="s">
        <v>70</v>
      </c>
      <c r="C24" s="1615">
        <v>-833</v>
      </c>
      <c r="D24" s="1621">
        <v>-0.18871771635704576</v>
      </c>
      <c r="E24" s="1574"/>
      <c r="F24" s="1579"/>
      <c r="G24" s="1579"/>
      <c r="H24" s="1579"/>
      <c r="I24" s="2336">
        <v>3581</v>
      </c>
      <c r="J24" s="1709">
        <v>3570</v>
      </c>
      <c r="K24" s="1709">
        <v>4087</v>
      </c>
      <c r="L24" s="1709">
        <v>4585</v>
      </c>
      <c r="M24" s="1790">
        <v>4414</v>
      </c>
      <c r="N24" s="1709">
        <v>5102</v>
      </c>
      <c r="O24" s="1709">
        <v>5699</v>
      </c>
      <c r="P24" s="1709">
        <v>3901</v>
      </c>
      <c r="Q24" s="1790">
        <v>4859</v>
      </c>
      <c r="R24" s="1709">
        <v>5475</v>
      </c>
      <c r="S24" s="1709">
        <v>5038</v>
      </c>
      <c r="T24" s="1709">
        <v>5118</v>
      </c>
      <c r="U24" s="1790">
        <v>4908</v>
      </c>
      <c r="V24" s="1709">
        <v>4343</v>
      </c>
      <c r="W24" s="1478">
        <v>6684</v>
      </c>
      <c r="X24" s="1709">
        <v>3481</v>
      </c>
      <c r="Y24" s="1790">
        <v>6393</v>
      </c>
      <c r="Z24" s="1709">
        <v>3450</v>
      </c>
      <c r="AA24" s="1478">
        <v>1763</v>
      </c>
      <c r="AB24" s="1478">
        <v>1485</v>
      </c>
      <c r="AC24" s="1477">
        <v>2212</v>
      </c>
      <c r="AD24" s="1478">
        <v>1710</v>
      </c>
      <c r="AE24" s="1478">
        <v>1633</v>
      </c>
      <c r="AF24" s="1478">
        <v>1593</v>
      </c>
      <c r="AG24" s="1477"/>
      <c r="AH24" s="1709"/>
      <c r="AI24" s="1709"/>
      <c r="AJ24" s="1709"/>
      <c r="AK24" s="1790"/>
      <c r="AL24" s="1709"/>
      <c r="AM24" s="1709"/>
      <c r="AN24" s="1709"/>
      <c r="AO24" s="1790"/>
      <c r="AP24" s="1788"/>
      <c r="AQ24" s="1788"/>
      <c r="AR24" s="1788"/>
      <c r="AS24" s="1788"/>
      <c r="AT24" s="1795"/>
      <c r="AU24" s="1790"/>
      <c r="AV24" s="1790"/>
      <c r="AW24" s="1790"/>
      <c r="AX24" s="1687"/>
      <c r="AY24" s="1709">
        <v>16656</v>
      </c>
      <c r="AZ24" s="1709">
        <v>19561</v>
      </c>
      <c r="BA24" s="1701">
        <v>-2905</v>
      </c>
      <c r="BB24" s="1618">
        <v>-0.14850978988804253</v>
      </c>
      <c r="BC24" s="1635"/>
      <c r="BD24" s="1793">
        <v>16656</v>
      </c>
      <c r="BE24" s="1793">
        <v>19561</v>
      </c>
      <c r="BF24" s="1793">
        <v>20539</v>
      </c>
      <c r="BG24" s="1793">
        <v>20901</v>
      </c>
      <c r="BH24" s="1793">
        <v>8910</v>
      </c>
      <c r="BI24" s="1054">
        <v>7399</v>
      </c>
      <c r="BJ24" s="1054">
        <v>5985</v>
      </c>
      <c r="BK24" s="1447">
        <v>15606</v>
      </c>
      <c r="BL24" s="1447">
        <v>11718</v>
      </c>
      <c r="BM24" s="1702">
        <v>12437</v>
      </c>
      <c r="BN24" s="1715">
        <v>11037</v>
      </c>
      <c r="BO24" s="1715">
        <v>6277</v>
      </c>
      <c r="BP24" s="1715">
        <v>7632</v>
      </c>
      <c r="BQ24" s="1603"/>
      <c r="BS24" s="1560"/>
      <c r="BT24" s="1560"/>
      <c r="BU24" s="1560"/>
      <c r="BV24" s="1560"/>
    </row>
    <row r="25" spans="1:74" ht="12.75" customHeight="1" x14ac:dyDescent="0.2">
      <c r="A25" s="1612"/>
      <c r="B25" s="1614" t="s">
        <v>71</v>
      </c>
      <c r="C25" s="1615">
        <v>-214</v>
      </c>
      <c r="D25" s="1618">
        <v>-0.18416523235800344</v>
      </c>
      <c r="E25" s="1574"/>
      <c r="F25" s="1579"/>
      <c r="G25" s="1579"/>
      <c r="H25" s="1579"/>
      <c r="I25" s="2336">
        <v>948</v>
      </c>
      <c r="J25" s="1709">
        <v>1072</v>
      </c>
      <c r="K25" s="1709">
        <v>1431</v>
      </c>
      <c r="L25" s="1709">
        <v>1457</v>
      </c>
      <c r="M25" s="1790">
        <v>1162</v>
      </c>
      <c r="N25" s="1709">
        <v>1090</v>
      </c>
      <c r="O25" s="1709">
        <v>1048</v>
      </c>
      <c r="P25" s="1709">
        <v>1343</v>
      </c>
      <c r="Q25" s="1790">
        <v>1353</v>
      </c>
      <c r="R25" s="1709">
        <v>1471</v>
      </c>
      <c r="S25" s="1709">
        <v>1175</v>
      </c>
      <c r="T25" s="1709">
        <v>813</v>
      </c>
      <c r="U25" s="1790">
        <v>806</v>
      </c>
      <c r="V25" s="1709">
        <v>1782</v>
      </c>
      <c r="W25" s="1478">
        <v>1768</v>
      </c>
      <c r="X25" s="1709">
        <v>1790</v>
      </c>
      <c r="Y25" s="1790">
        <v>2061</v>
      </c>
      <c r="Z25" s="1709">
        <v>320</v>
      </c>
      <c r="AA25" s="1478">
        <v>307</v>
      </c>
      <c r="AB25" s="1478">
        <v>291</v>
      </c>
      <c r="AC25" s="1477">
        <v>312</v>
      </c>
      <c r="AD25" s="1478">
        <v>314</v>
      </c>
      <c r="AE25" s="1478">
        <v>314</v>
      </c>
      <c r="AF25" s="1478">
        <v>314</v>
      </c>
      <c r="AG25" s="1477"/>
      <c r="AH25" s="1709"/>
      <c r="AI25" s="1709"/>
      <c r="AJ25" s="1709"/>
      <c r="AK25" s="1790"/>
      <c r="AL25" s="1709"/>
      <c r="AM25" s="1709"/>
      <c r="AN25" s="1709"/>
      <c r="AO25" s="1790"/>
      <c r="AP25" s="1788"/>
      <c r="AQ25" s="1788"/>
      <c r="AR25" s="1788"/>
      <c r="AS25" s="1788"/>
      <c r="AT25" s="1795"/>
      <c r="AU25" s="1790"/>
      <c r="AV25" s="1790"/>
      <c r="AW25" s="1790"/>
      <c r="AX25" s="1687"/>
      <c r="AY25" s="1709">
        <v>5122</v>
      </c>
      <c r="AZ25" s="1709">
        <v>4834</v>
      </c>
      <c r="BA25" s="1701">
        <v>288</v>
      </c>
      <c r="BB25" s="1618">
        <v>5.9577989242863054E-2</v>
      </c>
      <c r="BC25" s="1635"/>
      <c r="BD25" s="1793">
        <v>5122</v>
      </c>
      <c r="BE25" s="1793">
        <v>4834</v>
      </c>
      <c r="BF25" s="1793">
        <v>4265</v>
      </c>
      <c r="BG25" s="1793">
        <v>7401</v>
      </c>
      <c r="BH25" s="1793">
        <v>1230</v>
      </c>
      <c r="BI25" s="1054">
        <v>1254</v>
      </c>
      <c r="BJ25" s="1054">
        <v>1603</v>
      </c>
      <c r="BK25" s="1447">
        <v>1843</v>
      </c>
      <c r="BL25" s="1447">
        <v>1825</v>
      </c>
      <c r="BM25" s="1702">
        <v>1063</v>
      </c>
      <c r="BN25" s="1715">
        <v>893</v>
      </c>
      <c r="BO25" s="1715">
        <v>470</v>
      </c>
      <c r="BP25" s="1715">
        <v>1291</v>
      </c>
      <c r="BQ25" s="1603"/>
      <c r="BS25" s="1560"/>
      <c r="BT25" s="1560"/>
      <c r="BU25" s="1560"/>
      <c r="BV25" s="1560"/>
    </row>
    <row r="26" spans="1:74" ht="12.75" customHeight="1" x14ac:dyDescent="0.2">
      <c r="A26" s="1608"/>
      <c r="B26" s="1614" t="s">
        <v>72</v>
      </c>
      <c r="C26" s="1615">
        <v>-379</v>
      </c>
      <c r="D26" s="1618">
        <v>-0.70841121495327097</v>
      </c>
      <c r="E26" s="1582"/>
      <c r="F26" s="1579"/>
      <c r="G26" s="1577"/>
      <c r="H26" s="1577"/>
      <c r="I26" s="2351">
        <v>156</v>
      </c>
      <c r="J26" s="1709">
        <v>872</v>
      </c>
      <c r="K26" s="1696">
        <v>722</v>
      </c>
      <c r="L26" s="1696">
        <v>792</v>
      </c>
      <c r="M26" s="1901">
        <v>535</v>
      </c>
      <c r="N26" s="1709">
        <v>926</v>
      </c>
      <c r="O26" s="1696">
        <v>2222</v>
      </c>
      <c r="P26" s="1696">
        <v>-40</v>
      </c>
      <c r="Q26" s="1901">
        <v>668</v>
      </c>
      <c r="R26" s="1696">
        <v>532</v>
      </c>
      <c r="S26" s="1696">
        <v>-447</v>
      </c>
      <c r="T26" s="1696">
        <v>3172</v>
      </c>
      <c r="U26" s="1901">
        <v>582</v>
      </c>
      <c r="V26" s="1696">
        <v>715</v>
      </c>
      <c r="W26" s="1478">
        <v>664</v>
      </c>
      <c r="X26" s="1696">
        <v>0</v>
      </c>
      <c r="Y26" s="1901">
        <v>0</v>
      </c>
      <c r="Z26" s="1696">
        <v>0</v>
      </c>
      <c r="AA26" s="1478">
        <v>512</v>
      </c>
      <c r="AB26" s="1478">
        <v>533</v>
      </c>
      <c r="AC26" s="1477">
        <v>760</v>
      </c>
      <c r="AD26" s="1478">
        <v>1474</v>
      </c>
      <c r="AE26" s="1478">
        <v>1103</v>
      </c>
      <c r="AF26" s="1478">
        <v>1012</v>
      </c>
      <c r="AG26" s="1477"/>
      <c r="AH26" s="1709"/>
      <c r="AI26" s="1709"/>
      <c r="AJ26" s="1709"/>
      <c r="AK26" s="1790"/>
      <c r="AL26" s="1709"/>
      <c r="AM26" s="1709"/>
      <c r="AN26" s="1709"/>
      <c r="AO26" s="1790"/>
      <c r="AP26" s="1788"/>
      <c r="AQ26" s="1788"/>
      <c r="AR26" s="1788"/>
      <c r="AS26" s="1788"/>
      <c r="AT26" s="1795"/>
      <c r="AU26" s="1790"/>
      <c r="AV26" s="1790"/>
      <c r="AW26" s="1790"/>
      <c r="AX26" s="1687"/>
      <c r="AY26" s="1696">
        <v>2921</v>
      </c>
      <c r="AZ26" s="1028">
        <v>3776</v>
      </c>
      <c r="BA26" s="1701">
        <v>-855</v>
      </c>
      <c r="BB26" s="1618">
        <v>-0.22643008474576271</v>
      </c>
      <c r="BC26" s="1635"/>
      <c r="BD26" s="1793">
        <v>2921</v>
      </c>
      <c r="BE26" s="1793">
        <v>3776</v>
      </c>
      <c r="BF26" s="1793">
        <v>3839</v>
      </c>
      <c r="BG26" s="1793">
        <v>1379</v>
      </c>
      <c r="BH26" s="1793">
        <v>1805</v>
      </c>
      <c r="BI26" s="1054">
        <v>4697</v>
      </c>
      <c r="BJ26" s="1054">
        <v>3012</v>
      </c>
      <c r="BK26" s="1447">
        <v>1340</v>
      </c>
      <c r="BL26" s="1447">
        <v>1133</v>
      </c>
      <c r="BM26" s="1702">
        <v>1510</v>
      </c>
      <c r="BN26" s="1715">
        <v>538</v>
      </c>
      <c r="BO26" s="1715">
        <v>590</v>
      </c>
      <c r="BP26" s="1715">
        <v>836</v>
      </c>
      <c r="BQ26" s="1603"/>
      <c r="BS26" s="1560"/>
      <c r="BT26" s="1560"/>
      <c r="BU26" s="1560"/>
      <c r="BV26" s="1560"/>
    </row>
    <row r="27" spans="1:74" ht="12.75" customHeight="1" x14ac:dyDescent="0.2">
      <c r="A27" s="1612"/>
      <c r="B27" s="1608" t="s">
        <v>160</v>
      </c>
      <c r="C27" s="1615">
        <v>0</v>
      </c>
      <c r="D27" s="1618">
        <v>0</v>
      </c>
      <c r="E27" s="1574"/>
      <c r="F27" s="1585"/>
      <c r="G27" s="1577"/>
      <c r="H27" s="1577"/>
      <c r="I27" s="2351">
        <v>0</v>
      </c>
      <c r="J27" s="1744">
        <v>3344</v>
      </c>
      <c r="K27" s="1696">
        <v>0</v>
      </c>
      <c r="L27" s="1696">
        <v>0</v>
      </c>
      <c r="M27" s="1901">
        <v>0</v>
      </c>
      <c r="N27" s="1744">
        <v>9143</v>
      </c>
      <c r="O27" s="1696">
        <v>0</v>
      </c>
      <c r="P27" s="1696">
        <v>0</v>
      </c>
      <c r="Q27" s="1901">
        <v>0</v>
      </c>
      <c r="R27" s="1744">
        <v>0</v>
      </c>
      <c r="S27" s="1696">
        <v>0</v>
      </c>
      <c r="T27" s="1696">
        <v>1307</v>
      </c>
      <c r="U27" s="1901">
        <v>0</v>
      </c>
      <c r="V27" s="1744">
        <v>5561</v>
      </c>
      <c r="W27" s="1028">
        <v>2291</v>
      </c>
      <c r="X27" s="1696">
        <v>0</v>
      </c>
      <c r="Y27" s="1901">
        <v>0</v>
      </c>
      <c r="Z27" s="1744">
        <v>18049</v>
      </c>
      <c r="AA27" s="1028">
        <v>0</v>
      </c>
      <c r="AB27" s="1028">
        <v>0</v>
      </c>
      <c r="AC27" s="1902">
        <v>0</v>
      </c>
      <c r="AD27" s="1744">
        <v>0</v>
      </c>
      <c r="AE27" s="1507">
        <v>0</v>
      </c>
      <c r="AF27" s="1507">
        <v>0</v>
      </c>
      <c r="AG27" s="1902"/>
      <c r="AH27" s="1903"/>
      <c r="AI27" s="1904"/>
      <c r="AJ27" s="1904"/>
      <c r="AK27" s="1905"/>
      <c r="AL27" s="1709"/>
      <c r="AM27" s="1709"/>
      <c r="AN27" s="1904"/>
      <c r="AO27" s="1905"/>
      <c r="AP27" s="1906"/>
      <c r="AQ27" s="1632"/>
      <c r="AR27" s="1632"/>
      <c r="AS27" s="1632"/>
      <c r="AT27" s="1907"/>
      <c r="AU27" s="1908"/>
      <c r="AV27" s="1790"/>
      <c r="AW27" s="1790"/>
      <c r="AX27" s="1749"/>
      <c r="AY27" s="1796">
        <v>3344</v>
      </c>
      <c r="AZ27" s="1028">
        <v>9143</v>
      </c>
      <c r="BA27" s="1701">
        <v>-5799</v>
      </c>
      <c r="BB27" s="1618">
        <v>-0.63425571475445697</v>
      </c>
      <c r="BC27" s="1635"/>
      <c r="BD27" s="1793">
        <v>3344</v>
      </c>
      <c r="BE27" s="1966">
        <v>9143</v>
      </c>
      <c r="BF27" s="1966">
        <v>1307</v>
      </c>
      <c r="BG27" s="1966">
        <v>7852</v>
      </c>
      <c r="BH27" s="1966">
        <v>18049</v>
      </c>
      <c r="BI27" s="1060">
        <v>0</v>
      </c>
      <c r="BJ27" s="1909">
        <v>0</v>
      </c>
      <c r="BK27" s="1909">
        <v>1274</v>
      </c>
      <c r="BL27" s="1967">
        <v>0</v>
      </c>
      <c r="BM27" s="1746">
        <v>0</v>
      </c>
      <c r="BN27" s="1746">
        <v>0</v>
      </c>
      <c r="BO27" s="1715">
        <v>0</v>
      </c>
      <c r="BP27" s="1715">
        <v>0</v>
      </c>
      <c r="BQ27" s="1603"/>
      <c r="BS27" s="1560"/>
      <c r="BT27" s="1560"/>
      <c r="BU27" s="1560"/>
      <c r="BV27" s="1560"/>
    </row>
    <row r="28" spans="1:74" ht="12.75" customHeight="1" x14ac:dyDescent="0.2">
      <c r="A28" s="1608"/>
      <c r="B28" s="1608" t="s">
        <v>181</v>
      </c>
      <c r="C28" s="1615">
        <v>0</v>
      </c>
      <c r="D28" s="1621">
        <v>0</v>
      </c>
      <c r="E28" s="1574"/>
      <c r="F28" s="933"/>
      <c r="G28" s="1577"/>
      <c r="H28" s="1577"/>
      <c r="I28" s="2351">
        <v>0</v>
      </c>
      <c r="J28" s="1028">
        <v>0</v>
      </c>
      <c r="K28" s="1696">
        <v>0</v>
      </c>
      <c r="L28" s="1696">
        <v>0</v>
      </c>
      <c r="M28" s="1901">
        <v>0</v>
      </c>
      <c r="N28" s="1028">
        <v>0</v>
      </c>
      <c r="O28" s="1696">
        <v>0</v>
      </c>
      <c r="P28" s="1696">
        <v>0</v>
      </c>
      <c r="Q28" s="1901">
        <v>0</v>
      </c>
      <c r="R28" s="1028">
        <v>0</v>
      </c>
      <c r="S28" s="1696">
        <v>0</v>
      </c>
      <c r="T28" s="1696">
        <v>0</v>
      </c>
      <c r="U28" s="1901">
        <v>0</v>
      </c>
      <c r="V28" s="1028">
        <v>0</v>
      </c>
      <c r="W28" s="1028">
        <v>0</v>
      </c>
      <c r="X28" s="1696">
        <v>0</v>
      </c>
      <c r="Y28" s="1901">
        <v>0</v>
      </c>
      <c r="Z28" s="1028">
        <v>5885</v>
      </c>
      <c r="AA28" s="1028">
        <v>410</v>
      </c>
      <c r="AB28" s="1744">
        <v>0</v>
      </c>
      <c r="AC28" s="1901">
        <v>0</v>
      </c>
      <c r="AD28" s="1028">
        <v>0</v>
      </c>
      <c r="AE28" s="1028">
        <v>0</v>
      </c>
      <c r="AF28" s="1744">
        <v>0</v>
      </c>
      <c r="AG28" s="1901"/>
      <c r="AH28" s="1709"/>
      <c r="AI28" s="1903"/>
      <c r="AJ28" s="1903"/>
      <c r="AK28" s="1911"/>
      <c r="AL28" s="1903"/>
      <c r="AM28" s="1903"/>
      <c r="AN28" s="1903"/>
      <c r="AO28" s="1912"/>
      <c r="AP28" s="1821"/>
      <c r="AQ28" s="1821"/>
      <c r="AR28" s="1821"/>
      <c r="AS28" s="1821"/>
      <c r="AT28" s="1913"/>
      <c r="AU28" s="1912"/>
      <c r="AV28" s="1912"/>
      <c r="AW28" s="1912"/>
      <c r="AX28" s="1739"/>
      <c r="AY28" s="1796">
        <v>0</v>
      </c>
      <c r="AZ28" s="1028">
        <v>0</v>
      </c>
      <c r="BA28" s="1915">
        <v>0</v>
      </c>
      <c r="BB28" s="1618">
        <v>0</v>
      </c>
      <c r="BC28" s="2249"/>
      <c r="BD28" s="1968">
        <v>0</v>
      </c>
      <c r="BE28" s="1762">
        <v>0</v>
      </c>
      <c r="BF28" s="1901">
        <v>0</v>
      </c>
      <c r="BG28" s="1968">
        <v>0</v>
      </c>
      <c r="BH28" s="1793">
        <v>6295</v>
      </c>
      <c r="BI28" s="1969">
        <v>0</v>
      </c>
      <c r="BJ28" s="1970">
        <v>0</v>
      </c>
      <c r="BK28" s="1970">
        <v>0</v>
      </c>
      <c r="BL28" s="1970">
        <v>0</v>
      </c>
      <c r="BM28" s="1738">
        <v>0</v>
      </c>
      <c r="BN28" s="1739">
        <v>0</v>
      </c>
      <c r="BO28" s="1715"/>
      <c r="BP28" s="1715">
        <v>0</v>
      </c>
      <c r="BQ28" s="1603"/>
      <c r="BS28" s="1560"/>
      <c r="BT28" s="1560"/>
      <c r="BU28" s="1560"/>
      <c r="BV28" s="1560"/>
    </row>
    <row r="29" spans="1:74" ht="12.75" customHeight="1" x14ac:dyDescent="0.2">
      <c r="A29" s="1612"/>
      <c r="B29" s="1608" t="s">
        <v>442</v>
      </c>
      <c r="C29" s="1615">
        <v>0</v>
      </c>
      <c r="D29" s="1621">
        <v>0</v>
      </c>
      <c r="E29" s="1574"/>
      <c r="F29" s="1585"/>
      <c r="G29" s="1577"/>
      <c r="H29" s="1577"/>
      <c r="I29" s="2351">
        <v>0</v>
      </c>
      <c r="J29" s="1744">
        <v>0</v>
      </c>
      <c r="K29" s="1696">
        <v>106858</v>
      </c>
      <c r="L29" s="1696">
        <v>0</v>
      </c>
      <c r="M29" s="1901">
        <v>0</v>
      </c>
      <c r="N29" s="1744">
        <v>0</v>
      </c>
      <c r="O29" s="1696">
        <v>0</v>
      </c>
      <c r="P29" s="1696">
        <v>0</v>
      </c>
      <c r="Q29" s="1901">
        <v>0</v>
      </c>
      <c r="R29" s="1744">
        <v>0</v>
      </c>
      <c r="S29" s="1696">
        <v>0</v>
      </c>
      <c r="T29" s="1696"/>
      <c r="U29" s="1901"/>
      <c r="V29" s="1744"/>
      <c r="W29" s="1507"/>
      <c r="X29" s="1696"/>
      <c r="Y29" s="1901"/>
      <c r="Z29" s="1744"/>
      <c r="AA29" s="1507"/>
      <c r="AB29" s="1507"/>
      <c r="AC29" s="1902"/>
      <c r="AD29" s="1744"/>
      <c r="AE29" s="1507"/>
      <c r="AF29" s="1507"/>
      <c r="AG29" s="1902"/>
      <c r="AH29" s="1903"/>
      <c r="AI29" s="1904"/>
      <c r="AJ29" s="1904"/>
      <c r="AK29" s="1905"/>
      <c r="AL29" s="1709"/>
      <c r="AM29" s="1709"/>
      <c r="AN29" s="1904"/>
      <c r="AO29" s="1905"/>
      <c r="AP29" s="1906"/>
      <c r="AQ29" s="1632"/>
      <c r="AR29" s="1632"/>
      <c r="AS29" s="1632"/>
      <c r="AT29" s="1907"/>
      <c r="AU29" s="1908"/>
      <c r="AV29" s="1790"/>
      <c r="AW29" s="1790"/>
      <c r="AX29" s="1749"/>
      <c r="AY29" s="1796">
        <v>106858</v>
      </c>
      <c r="AZ29" s="1090">
        <v>0</v>
      </c>
      <c r="BA29" s="1701">
        <v>106858</v>
      </c>
      <c r="BB29" s="1618" t="s">
        <v>42</v>
      </c>
      <c r="BC29" s="1635"/>
      <c r="BD29" s="1793">
        <v>106858</v>
      </c>
      <c r="BE29" s="1966">
        <v>0</v>
      </c>
      <c r="BF29" s="1966">
        <v>0</v>
      </c>
      <c r="BG29" s="1966">
        <v>0</v>
      </c>
      <c r="BH29" s="1966">
        <v>0</v>
      </c>
      <c r="BI29" s="1060">
        <v>0</v>
      </c>
      <c r="BJ29" s="1909"/>
      <c r="BK29" s="1909"/>
      <c r="BL29" s="1967"/>
      <c r="BM29" s="1746"/>
      <c r="BN29" s="1746"/>
      <c r="BO29" s="1715"/>
      <c r="BP29" s="1715"/>
      <c r="BQ29" s="1603"/>
      <c r="BS29" s="1560"/>
      <c r="BT29" s="1560"/>
      <c r="BU29" s="1560"/>
      <c r="BV29" s="1560"/>
    </row>
    <row r="30" spans="1:74" ht="12.75" customHeight="1" x14ac:dyDescent="0.2">
      <c r="A30" s="1612"/>
      <c r="B30" s="1608"/>
      <c r="C30" s="1616">
        <v>-12079</v>
      </c>
      <c r="D30" s="1623">
        <v>-0.27936720864074749</v>
      </c>
      <c r="E30" s="1574"/>
      <c r="F30" s="1879">
        <v>0</v>
      </c>
      <c r="G30" s="1879">
        <v>0</v>
      </c>
      <c r="H30" s="1879">
        <v>0</v>
      </c>
      <c r="I30" s="2337">
        <v>31158</v>
      </c>
      <c r="J30" s="1896">
        <v>35491</v>
      </c>
      <c r="K30" s="1896">
        <v>148413</v>
      </c>
      <c r="L30" s="1896">
        <v>37337</v>
      </c>
      <c r="M30" s="1791">
        <v>43237</v>
      </c>
      <c r="N30" s="1896">
        <v>53696</v>
      </c>
      <c r="O30" s="1896">
        <v>38098</v>
      </c>
      <c r="P30" s="1896">
        <v>40920</v>
      </c>
      <c r="Q30" s="1791">
        <v>40245</v>
      </c>
      <c r="R30" s="1896">
        <v>50989</v>
      </c>
      <c r="S30" s="1896">
        <v>50915</v>
      </c>
      <c r="T30" s="1896">
        <v>42560</v>
      </c>
      <c r="U30" s="1791">
        <v>35372</v>
      </c>
      <c r="V30" s="1898">
        <v>50734</v>
      </c>
      <c r="W30" s="1896">
        <v>46570</v>
      </c>
      <c r="X30" s="1896">
        <v>40389</v>
      </c>
      <c r="Y30" s="1897">
        <v>40976</v>
      </c>
      <c r="Z30" s="1896">
        <v>47530</v>
      </c>
      <c r="AA30" s="1896">
        <v>13751</v>
      </c>
      <c r="AB30" s="1896">
        <v>13294</v>
      </c>
      <c r="AC30" s="1897">
        <v>14080</v>
      </c>
      <c r="AD30" s="1896">
        <v>25215</v>
      </c>
      <c r="AE30" s="1917">
        <v>20384</v>
      </c>
      <c r="AF30" s="1896">
        <v>16895</v>
      </c>
      <c r="AG30" s="1791">
        <v>0</v>
      </c>
      <c r="AH30" s="1896">
        <v>27693</v>
      </c>
      <c r="AI30" s="1917">
        <v>37922</v>
      </c>
      <c r="AJ30" s="1896">
        <v>19480</v>
      </c>
      <c r="AK30" s="1791">
        <v>22187</v>
      </c>
      <c r="AL30" s="1917">
        <v>0</v>
      </c>
      <c r="AM30" s="1917">
        <v>0</v>
      </c>
      <c r="AN30" s="1917">
        <v>0</v>
      </c>
      <c r="AO30" s="1791">
        <v>0</v>
      </c>
      <c r="AP30" s="1917">
        <v>0</v>
      </c>
      <c r="AQ30" s="1917">
        <v>87449</v>
      </c>
      <c r="AR30" s="1897">
        <v>74128</v>
      </c>
      <c r="AS30" s="1917">
        <v>106349</v>
      </c>
      <c r="AT30" s="1789">
        <v>100905</v>
      </c>
      <c r="AU30" s="1791">
        <v>75317</v>
      </c>
      <c r="AV30" s="1791">
        <v>70703</v>
      </c>
      <c r="AW30" s="1917">
        <v>91522</v>
      </c>
      <c r="AX30" s="1749"/>
      <c r="AY30" s="1896">
        <v>264478</v>
      </c>
      <c r="AZ30" s="1896">
        <v>172959</v>
      </c>
      <c r="BA30" s="1750">
        <v>91519</v>
      </c>
      <c r="BB30" s="1751">
        <v>0.52913696309530001</v>
      </c>
      <c r="BC30" s="1633"/>
      <c r="BD30" s="2248">
        <v>264478</v>
      </c>
      <c r="BE30" s="1752">
        <v>172959</v>
      </c>
      <c r="BF30" s="1752">
        <v>179836</v>
      </c>
      <c r="BG30" s="1752">
        <v>178669</v>
      </c>
      <c r="BH30" s="1752">
        <v>88655</v>
      </c>
      <c r="BI30" s="1752">
        <v>78548</v>
      </c>
      <c r="BJ30" s="1752">
        <f t="shared" ref="BJ30:BO30" si="0">SUM(BJ18:BJ29)</f>
        <v>72921</v>
      </c>
      <c r="BK30" s="1752">
        <f t="shared" si="0"/>
        <v>70895</v>
      </c>
      <c r="BL30" s="1752">
        <f t="shared" si="0"/>
        <v>88719</v>
      </c>
      <c r="BM30" s="1752">
        <f t="shared" si="0"/>
        <v>125171</v>
      </c>
      <c r="BN30" s="1753">
        <f t="shared" si="0"/>
        <v>105485</v>
      </c>
      <c r="BO30" s="1753">
        <f t="shared" si="0"/>
        <v>67435</v>
      </c>
      <c r="BP30" s="1708">
        <v>154490</v>
      </c>
      <c r="BQ30" s="1603"/>
      <c r="BS30" s="1560"/>
      <c r="BT30" s="1560"/>
      <c r="BU30" s="1560"/>
      <c r="BV30" s="1560"/>
    </row>
    <row r="31" spans="1:74" s="1588" customFormat="1" ht="24.95" customHeight="1" thickBot="1" x14ac:dyDescent="0.25">
      <c r="A31" s="2480" t="s">
        <v>179</v>
      </c>
      <c r="B31" s="2481"/>
      <c r="C31" s="1616">
        <v>-8636</v>
      </c>
      <c r="D31" s="1617" t="s">
        <v>42</v>
      </c>
      <c r="E31" s="1581"/>
      <c r="F31" s="1586">
        <v>0</v>
      </c>
      <c r="G31" s="1586">
        <v>0</v>
      </c>
      <c r="H31" s="1586">
        <v>0</v>
      </c>
      <c r="I31" s="2331">
        <v>-6640</v>
      </c>
      <c r="J31" s="1754">
        <v>-2960</v>
      </c>
      <c r="K31" s="1754">
        <v>-119072</v>
      </c>
      <c r="L31" s="1754">
        <v>1002</v>
      </c>
      <c r="M31" s="1755">
        <v>1996</v>
      </c>
      <c r="N31" s="1754">
        <v>-15102</v>
      </c>
      <c r="O31" s="1754">
        <v>-14406</v>
      </c>
      <c r="P31" s="1754">
        <v>7990</v>
      </c>
      <c r="Q31" s="1755">
        <v>4501</v>
      </c>
      <c r="R31" s="1754">
        <v>12186</v>
      </c>
      <c r="S31" s="1754">
        <v>14792</v>
      </c>
      <c r="T31" s="1754">
        <v>376</v>
      </c>
      <c r="U31" s="1755">
        <v>5117</v>
      </c>
      <c r="V31" s="1754">
        <v>-5182</v>
      </c>
      <c r="W31" s="1754">
        <v>-2322</v>
      </c>
      <c r="X31" s="1754">
        <v>-1355</v>
      </c>
      <c r="Y31" s="1755">
        <v>-11756</v>
      </c>
      <c r="Z31" s="1754">
        <v>-27669</v>
      </c>
      <c r="AA31" s="1754">
        <v>-1003</v>
      </c>
      <c r="AB31" s="1754">
        <v>-3956</v>
      </c>
      <c r="AC31" s="1755">
        <v>-4834</v>
      </c>
      <c r="AD31" s="1754">
        <v>9340</v>
      </c>
      <c r="AE31" s="1754">
        <v>2955</v>
      </c>
      <c r="AF31" s="1728">
        <v>1443</v>
      </c>
      <c r="AG31" s="1755" t="e">
        <v>#REF!</v>
      </c>
      <c r="AH31" s="1728" t="e">
        <v>#REF!</v>
      </c>
      <c r="AI31" s="1754" t="e">
        <v>#REF!</v>
      </c>
      <c r="AJ31" s="1728" t="e">
        <v>#REF!</v>
      </c>
      <c r="AK31" s="1755" t="e">
        <v>#REF!</v>
      </c>
      <c r="AL31" s="1754" t="e">
        <v>#REF!</v>
      </c>
      <c r="AM31" s="1754" t="e">
        <v>#REF!</v>
      </c>
      <c r="AN31" s="1754" t="e">
        <v>#REF!</v>
      </c>
      <c r="AO31" s="1755" t="e">
        <v>#REF!</v>
      </c>
      <c r="AP31" s="1754" t="e">
        <v>#REF!</v>
      </c>
      <c r="AQ31" s="1704" t="s">
        <v>177</v>
      </c>
      <c r="AR31" s="1703" t="s">
        <v>177</v>
      </c>
      <c r="AS31" s="1704"/>
      <c r="AT31" s="1704"/>
      <c r="AU31" s="1704"/>
      <c r="AV31" s="1704"/>
      <c r="AW31" s="1704"/>
      <c r="AX31" s="1733"/>
      <c r="AY31" s="1754">
        <v>-119034</v>
      </c>
      <c r="AZ31" s="1754">
        <v>-17017</v>
      </c>
      <c r="BA31" s="1475">
        <v>-102017</v>
      </c>
      <c r="BB31" s="1617" t="s">
        <v>42</v>
      </c>
      <c r="BC31" s="1633"/>
      <c r="BD31" s="2242">
        <v>-119034</v>
      </c>
      <c r="BE31" s="1484">
        <v>-17017</v>
      </c>
      <c r="BF31" s="1707">
        <v>32471</v>
      </c>
      <c r="BG31" s="1484">
        <v>-20615</v>
      </c>
      <c r="BH31" s="1484">
        <v>-37462</v>
      </c>
      <c r="BI31" s="1707">
        <v>14129</v>
      </c>
      <c r="BJ31" s="1707">
        <f>BJ14-BJ30</f>
        <v>9533</v>
      </c>
      <c r="BK31" s="1707">
        <f>BK14-BK30</f>
        <v>2031</v>
      </c>
      <c r="BL31" s="1756">
        <f>BL14-BL30</f>
        <v>29613</v>
      </c>
      <c r="BM31" s="1756" t="e">
        <f>#REF!-#REF!</f>
        <v>#REF!</v>
      </c>
      <c r="BN31" s="1708" t="e">
        <f>#REF!-#REF!</f>
        <v>#REF!</v>
      </c>
      <c r="BO31" s="1708" t="e">
        <f>#REF!-#REF!</f>
        <v>#REF!</v>
      </c>
      <c r="BP31" s="1757"/>
      <c r="BQ31" s="1758"/>
      <c r="BR31" s="2356"/>
      <c r="BS31" s="1587"/>
      <c r="BT31" s="1587"/>
      <c r="BU31" s="1587"/>
      <c r="BV31" s="1587"/>
    </row>
    <row r="32" spans="1:74" s="1588" customFormat="1" ht="12.75" customHeight="1" thickTop="1" x14ac:dyDescent="0.2">
      <c r="A32" s="2276"/>
      <c r="B32" s="1624" t="s">
        <v>347</v>
      </c>
      <c r="C32" s="1616">
        <v>277</v>
      </c>
      <c r="D32" s="1617">
        <v>0.61147902869757176</v>
      </c>
      <c r="E32" s="1574"/>
      <c r="F32" s="1398"/>
      <c r="G32" s="1882"/>
      <c r="H32" s="1882"/>
      <c r="I32" s="2305">
        <v>730</v>
      </c>
      <c r="J32" s="1475">
        <v>713</v>
      </c>
      <c r="K32" s="1924">
        <v>428</v>
      </c>
      <c r="L32" s="1924">
        <v>418</v>
      </c>
      <c r="M32" s="1481">
        <v>453</v>
      </c>
      <c r="N32" s="1475">
        <v>-144</v>
      </c>
      <c r="O32" s="1924">
        <v>-38</v>
      </c>
      <c r="P32" s="1924">
        <v>-205</v>
      </c>
      <c r="Q32" s="1481">
        <v>-215</v>
      </c>
      <c r="R32" s="1475">
        <v>-1534</v>
      </c>
      <c r="S32" s="1924">
        <v>-1276</v>
      </c>
      <c r="T32" s="1924">
        <v>-840</v>
      </c>
      <c r="U32" s="1481">
        <v>-583</v>
      </c>
      <c r="V32" s="1475">
        <v>-1769</v>
      </c>
      <c r="W32" s="1475">
        <v>-1743</v>
      </c>
      <c r="X32" s="1475">
        <v>-2014</v>
      </c>
      <c r="Y32" s="1481">
        <v>-1210</v>
      </c>
      <c r="Z32" s="1971">
        <v>0</v>
      </c>
      <c r="AA32" s="1971">
        <v>0</v>
      </c>
      <c r="AB32" s="1972">
        <v>0</v>
      </c>
      <c r="AC32" s="1489">
        <v>0</v>
      </c>
      <c r="AD32" s="1475">
        <v>0</v>
      </c>
      <c r="AE32" s="1248"/>
      <c r="AF32" s="1475"/>
      <c r="AG32" s="1489"/>
      <c r="AH32" s="1475"/>
      <c r="AI32" s="1248"/>
      <c r="AJ32" s="1475"/>
      <c r="AK32" s="1489"/>
      <c r="AL32" s="1248"/>
      <c r="AM32" s="1248"/>
      <c r="AN32" s="1248"/>
      <c r="AO32" s="1489"/>
      <c r="AP32" s="1248"/>
      <c r="AQ32" s="1073"/>
      <c r="AR32" s="1927"/>
      <c r="AS32" s="1073"/>
      <c r="AT32" s="1073"/>
      <c r="AU32" s="1073"/>
      <c r="AV32" s="1073"/>
      <c r="AW32" s="1073"/>
      <c r="AX32" s="1928"/>
      <c r="AY32" s="1475">
        <v>2012</v>
      </c>
      <c r="AZ32" s="1475">
        <v>-602</v>
      </c>
      <c r="BA32" s="1475">
        <v>2614</v>
      </c>
      <c r="BB32" s="1617" t="s">
        <v>42</v>
      </c>
      <c r="BC32" s="2028"/>
      <c r="BD32" s="1793">
        <v>2012</v>
      </c>
      <c r="BE32" s="1484">
        <v>-602</v>
      </c>
      <c r="BF32" s="1484">
        <v>-4233</v>
      </c>
      <c r="BG32" s="1475">
        <v>-6736</v>
      </c>
      <c r="BH32" s="1484">
        <v>0</v>
      </c>
      <c r="BI32" s="1929">
        <v>0</v>
      </c>
      <c r="BJ32" s="1929">
        <v>0</v>
      </c>
      <c r="BK32" s="1929">
        <v>0</v>
      </c>
      <c r="BL32" s="1702"/>
      <c r="BM32" s="1718"/>
      <c r="BN32" s="1762"/>
      <c r="BO32" s="1715"/>
      <c r="BP32" s="1627"/>
      <c r="BQ32" s="1758"/>
      <c r="BR32" s="2356"/>
      <c r="BS32" s="1587"/>
      <c r="BT32" s="1587"/>
      <c r="BU32" s="1587"/>
      <c r="BV32" s="1587"/>
    </row>
    <row r="33" spans="1:74" s="1588" customFormat="1" ht="18.75" customHeight="1" thickBot="1" x14ac:dyDescent="0.25">
      <c r="A33" s="2480" t="s">
        <v>74</v>
      </c>
      <c r="B33" s="2482"/>
      <c r="C33" s="1625">
        <v>-8913</v>
      </c>
      <c r="D33" s="1626" t="s">
        <v>42</v>
      </c>
      <c r="E33" s="1574"/>
      <c r="F33" s="1409">
        <v>0</v>
      </c>
      <c r="G33" s="1409">
        <v>0</v>
      </c>
      <c r="H33" s="2354">
        <v>0</v>
      </c>
      <c r="I33" s="2311">
        <v>-7370</v>
      </c>
      <c r="J33" s="1510">
        <v>-3673</v>
      </c>
      <c r="K33" s="1510">
        <v>-119500</v>
      </c>
      <c r="L33" s="1930">
        <v>584</v>
      </c>
      <c r="M33" s="1768">
        <v>1543</v>
      </c>
      <c r="N33" s="1510">
        <v>-14958</v>
      </c>
      <c r="O33" s="1510">
        <v>-14368</v>
      </c>
      <c r="P33" s="1930">
        <v>8195</v>
      </c>
      <c r="Q33" s="1768">
        <v>4716</v>
      </c>
      <c r="R33" s="1930">
        <v>13720</v>
      </c>
      <c r="S33" s="1930">
        <v>16068</v>
      </c>
      <c r="T33" s="1930">
        <v>1216</v>
      </c>
      <c r="U33" s="1768">
        <v>5700</v>
      </c>
      <c r="V33" s="1510">
        <v>-3413</v>
      </c>
      <c r="W33" s="1510">
        <v>-579</v>
      </c>
      <c r="X33" s="1510">
        <v>659</v>
      </c>
      <c r="Y33" s="1514">
        <v>-10546</v>
      </c>
      <c r="Z33" s="1510">
        <v>-27669</v>
      </c>
      <c r="AA33" s="1510">
        <v>-1003</v>
      </c>
      <c r="AB33" s="1510">
        <v>-3956</v>
      </c>
      <c r="AC33" s="1514">
        <v>-4834</v>
      </c>
      <c r="AD33" s="1510">
        <v>9340</v>
      </c>
      <c r="AE33" s="1510"/>
      <c r="AF33" s="1510"/>
      <c r="AG33" s="1514"/>
      <c r="AH33" s="1510"/>
      <c r="AI33" s="1510"/>
      <c r="AJ33" s="1510"/>
      <c r="AK33" s="1514"/>
      <c r="AL33" s="1510"/>
      <c r="AM33" s="1510"/>
      <c r="AN33" s="1510"/>
      <c r="AO33" s="1514"/>
      <c r="AP33" s="1510"/>
      <c r="AQ33" s="1931"/>
      <c r="AR33" s="1932"/>
      <c r="AS33" s="1931"/>
      <c r="AT33" s="1931"/>
      <c r="AU33" s="1931"/>
      <c r="AV33" s="1931"/>
      <c r="AW33" s="1931"/>
      <c r="AX33" s="1928"/>
      <c r="AY33" s="1510">
        <v>-121046</v>
      </c>
      <c r="AZ33" s="1510">
        <v>-16415</v>
      </c>
      <c r="BA33" s="1510">
        <v>-104631</v>
      </c>
      <c r="BB33" s="1626" t="s">
        <v>42</v>
      </c>
      <c r="BC33" s="1760"/>
      <c r="BD33" s="1518">
        <v>-121046</v>
      </c>
      <c r="BE33" s="1518">
        <v>-16415</v>
      </c>
      <c r="BF33" s="1518">
        <v>36704</v>
      </c>
      <c r="BG33" s="1518">
        <v>-13879</v>
      </c>
      <c r="BH33" s="1518">
        <v>-37462</v>
      </c>
      <c r="BI33" s="1767">
        <v>14129</v>
      </c>
      <c r="BJ33" s="1767">
        <f>BJ31-BJ32</f>
        <v>9533</v>
      </c>
      <c r="BK33" s="1767">
        <f>BK31-BK32</f>
        <v>2031</v>
      </c>
      <c r="BL33" s="1767"/>
      <c r="BM33" s="1768"/>
      <c r="BN33" s="1769"/>
      <c r="BO33" s="1708"/>
      <c r="BP33" s="1627"/>
      <c r="BQ33" s="1758"/>
      <c r="BR33" s="2356"/>
      <c r="BS33" s="1587"/>
      <c r="BT33" s="1587"/>
      <c r="BU33" s="1587"/>
      <c r="BV33" s="1587"/>
    </row>
    <row r="34" spans="1:74" ht="12.75" customHeight="1" thickTop="1" x14ac:dyDescent="0.2">
      <c r="A34" s="1622"/>
      <c r="B34" s="1622"/>
      <c r="C34" s="1627"/>
      <c r="D34" s="1628"/>
      <c r="E34" s="1591"/>
      <c r="F34" s="1591"/>
      <c r="G34" s="2333"/>
      <c r="H34" s="2333"/>
      <c r="I34" s="1564"/>
      <c r="J34" s="1628"/>
      <c r="K34" s="1770"/>
      <c r="L34" s="1770"/>
      <c r="M34" s="1608"/>
      <c r="N34" s="1628"/>
      <c r="O34" s="1770"/>
      <c r="P34" s="1770"/>
      <c r="Q34" s="1608"/>
      <c r="R34" s="1628"/>
      <c r="S34" s="1770"/>
      <c r="T34" s="1770"/>
      <c r="U34" s="1608"/>
      <c r="V34" s="1628"/>
      <c r="W34" s="1770"/>
      <c r="X34" s="1770"/>
      <c r="Y34" s="1608"/>
      <c r="Z34" s="1628"/>
      <c r="AA34" s="1628"/>
      <c r="AB34" s="1770"/>
      <c r="AC34" s="1608"/>
      <c r="AD34" s="1628"/>
      <c r="AE34" s="1628"/>
      <c r="AF34" s="1628"/>
      <c r="AG34" s="1608"/>
      <c r="AH34" s="1628"/>
      <c r="AI34" s="1628"/>
      <c r="AJ34" s="1628"/>
      <c r="AK34" s="1608"/>
      <c r="AL34" s="1628"/>
      <c r="AM34" s="1628"/>
      <c r="AN34" s="1628"/>
      <c r="AO34" s="1608"/>
      <c r="AP34" s="1622"/>
      <c r="AQ34" s="1622"/>
      <c r="AR34" s="1622"/>
      <c r="AS34" s="1622"/>
      <c r="AT34" s="1771"/>
      <c r="AU34" s="1771"/>
      <c r="AV34" s="1771"/>
      <c r="AW34" s="1771"/>
      <c r="AX34" s="1608"/>
      <c r="AY34" s="1608"/>
      <c r="AZ34" s="1633"/>
      <c r="BA34" s="1701"/>
      <c r="BB34" s="1628"/>
      <c r="BC34" s="1633"/>
      <c r="BD34" s="1633"/>
      <c r="BE34" s="1633"/>
      <c r="BF34" s="1633"/>
      <c r="BG34" s="1633"/>
      <c r="BH34" s="1633"/>
      <c r="BI34" s="1633"/>
      <c r="BJ34" s="1633"/>
      <c r="BK34" s="1633"/>
      <c r="BL34" s="1627"/>
      <c r="BM34" s="1627"/>
      <c r="BN34" s="1627"/>
      <c r="BO34" s="1627"/>
      <c r="BP34" s="1627"/>
      <c r="BQ34" s="1603"/>
      <c r="BS34" s="1560"/>
      <c r="BT34" s="1560"/>
      <c r="BU34" s="1560"/>
      <c r="BV34" s="1560"/>
    </row>
    <row r="35" spans="1:74" ht="12.75" customHeight="1" x14ac:dyDescent="0.2">
      <c r="A35" s="1622" t="s">
        <v>306</v>
      </c>
      <c r="B35" s="1622"/>
      <c r="C35" s="1629">
        <v>12.691513236067287</v>
      </c>
      <c r="D35" s="1628"/>
      <c r="E35" s="1591"/>
      <c r="F35" s="1592" t="e">
        <v>#DIV/0!</v>
      </c>
      <c r="G35" s="1592" t="e">
        <v>#DIV/0!</v>
      </c>
      <c r="H35" s="1592" t="e">
        <v>#DIV/0!</v>
      </c>
      <c r="I35" s="1592">
        <v>0.70030181907170241</v>
      </c>
      <c r="J35" s="1644">
        <v>0.52104146813808372</v>
      </c>
      <c r="K35" s="1644">
        <v>0.85078899832998189</v>
      </c>
      <c r="L35" s="1644">
        <v>0.53235608649156207</v>
      </c>
      <c r="M35" s="1644">
        <v>0.57338668671102955</v>
      </c>
      <c r="N35" s="1644">
        <v>0.68544333316059491</v>
      </c>
      <c r="O35" s="1644">
        <v>0.74738308289718047</v>
      </c>
      <c r="P35" s="1644">
        <v>0.49979554283377631</v>
      </c>
      <c r="Q35" s="1644">
        <v>0.47861261341795913</v>
      </c>
      <c r="R35" s="1644">
        <v>0.48614166996438463</v>
      </c>
      <c r="S35" s="1644">
        <v>0.44966289740819093</v>
      </c>
      <c r="T35" s="1644">
        <v>0.47405440655859882</v>
      </c>
      <c r="U35" s="1644">
        <v>0.3903282372990195</v>
      </c>
      <c r="V35" s="1644">
        <v>0.51729891113452753</v>
      </c>
      <c r="W35" s="1644">
        <v>0.4661679623937805</v>
      </c>
      <c r="X35" s="1644">
        <v>0.54068248193882251</v>
      </c>
      <c r="Y35" s="1644">
        <v>0.40616016427104723</v>
      </c>
      <c r="Z35" s="1644">
        <v>0.81279895272141378</v>
      </c>
      <c r="AA35" s="1644">
        <v>0.42014433636648885</v>
      </c>
      <c r="AB35" s="1644">
        <v>0.6003426857999572</v>
      </c>
      <c r="AC35" s="1644">
        <v>0.54996755353666449</v>
      </c>
      <c r="AD35" s="1628"/>
      <c r="AE35" s="1628"/>
      <c r="AF35" s="1628"/>
      <c r="AG35" s="1608"/>
      <c r="AH35" s="1628"/>
      <c r="AI35" s="1628"/>
      <c r="AJ35" s="1628"/>
      <c r="AK35" s="1608"/>
      <c r="AL35" s="1628"/>
      <c r="AM35" s="1628"/>
      <c r="AN35" s="1628"/>
      <c r="AO35" s="1608"/>
      <c r="AP35" s="1622"/>
      <c r="AQ35" s="1622"/>
      <c r="AR35" s="1622"/>
      <c r="AS35" s="1622"/>
      <c r="AT35" s="1771"/>
      <c r="AU35" s="1771"/>
      <c r="AV35" s="1771"/>
      <c r="AW35" s="1771"/>
      <c r="AX35" s="1608"/>
      <c r="AY35" s="1644">
        <v>0.6068246197849344</v>
      </c>
      <c r="AZ35" s="1772">
        <v>0.57727873183619549</v>
      </c>
      <c r="BA35" s="1629">
        <v>2.9545887948738914</v>
      </c>
      <c r="BB35" s="1628"/>
      <c r="BC35" s="1633"/>
      <c r="BD35" s="1644">
        <v>0.6068246197849344</v>
      </c>
      <c r="BE35" s="1772">
        <v>0.57727873183619549</v>
      </c>
      <c r="BF35" s="1772">
        <v>0.4541348142077275</v>
      </c>
      <c r="BG35" s="1772">
        <v>0.48821288926569401</v>
      </c>
      <c r="BH35" s="1772">
        <v>0.62879690582696857</v>
      </c>
      <c r="BI35" s="1772">
        <v>0.49136247396873012</v>
      </c>
      <c r="BJ35" s="1772">
        <f>+BJ16/BJ$14</f>
        <v>0.5158633904965193</v>
      </c>
      <c r="BK35" s="1772">
        <f>+BK16/BK$14</f>
        <v>0.46644543784109921</v>
      </c>
      <c r="BL35" s="1627"/>
      <c r="BM35" s="1627"/>
      <c r="BN35" s="1627"/>
      <c r="BO35" s="1627"/>
      <c r="BP35" s="1627"/>
      <c r="BQ35" s="1603"/>
      <c r="BS35" s="1560"/>
      <c r="BT35" s="1560"/>
      <c r="BU35" s="1560"/>
      <c r="BV35" s="1560"/>
    </row>
    <row r="36" spans="1:74" x14ac:dyDescent="0.2">
      <c r="A36" s="1622" t="s">
        <v>352</v>
      </c>
      <c r="C36" s="1629">
        <v>2.0762254122096437</v>
      </c>
      <c r="F36" s="1592" t="e">
        <v>#DIV/0!</v>
      </c>
      <c r="G36" s="1592" t="e">
        <v>#DIV/0!</v>
      </c>
      <c r="H36" s="1592" t="e">
        <v>#DIV/0!</v>
      </c>
      <c r="I36" s="1592">
        <v>5.7549555428664655E-2</v>
      </c>
      <c r="J36" s="1644">
        <v>1.5861793366327502E-2</v>
      </c>
      <c r="K36" s="1644">
        <v>4.6317439760062709E-2</v>
      </c>
      <c r="L36" s="1644">
        <v>3.4221028195831921E-2</v>
      </c>
      <c r="M36" s="1644">
        <v>3.6787301306568217E-2</v>
      </c>
      <c r="N36" s="1644">
        <v>4.881587811576929E-2</v>
      </c>
      <c r="O36" s="1644">
        <v>9.859868309978051E-2</v>
      </c>
      <c r="P36" s="1644">
        <v>5.2586383152729503E-2</v>
      </c>
      <c r="Q36" s="1644">
        <v>7.6051490636034502E-2</v>
      </c>
      <c r="R36" s="1644">
        <v>4.0585674713098534E-2</v>
      </c>
      <c r="S36" s="1644">
        <v>6.0130579694705283E-2</v>
      </c>
      <c r="T36" s="1644">
        <v>2.5270169554686046E-2</v>
      </c>
      <c r="U36" s="1644">
        <v>5.7373607646521274E-2</v>
      </c>
      <c r="V36" s="1644">
        <v>7.3674042852125046E-2</v>
      </c>
      <c r="W36" s="1644">
        <v>7.4873440607485089E-2</v>
      </c>
      <c r="X36" s="1644">
        <v>7.928984987446841E-2</v>
      </c>
      <c r="Y36" s="1644">
        <v>0.22501711156741958</v>
      </c>
      <c r="Z36" s="1644">
        <v>-8.8666230300589094E-2</v>
      </c>
      <c r="AA36" s="1644">
        <v>8.417006589268905E-2</v>
      </c>
      <c r="AB36" s="1644">
        <v>9.1561362176054831E-2</v>
      </c>
      <c r="AC36" s="1644">
        <v>0.12156608263032663</v>
      </c>
      <c r="AD36" s="1606"/>
      <c r="AE36" s="1606"/>
      <c r="AF36" s="1606"/>
      <c r="AG36" s="1606"/>
      <c r="AH36" s="1606"/>
      <c r="AI36" s="1606"/>
      <c r="AJ36" s="1606"/>
      <c r="AK36" s="1606"/>
      <c r="AL36" s="1606"/>
      <c r="AM36" s="1606"/>
      <c r="AN36" s="1606"/>
      <c r="AO36" s="1973"/>
      <c r="AP36" s="1973"/>
      <c r="AQ36" s="1973"/>
      <c r="AR36" s="1973"/>
      <c r="AS36" s="1973"/>
      <c r="AT36" s="1973"/>
      <c r="AU36" s="1973"/>
      <c r="AV36" s="1973"/>
      <c r="AW36" s="1973"/>
      <c r="AX36" s="1606"/>
      <c r="AY36" s="1644">
        <v>3.3353043095624431E-2</v>
      </c>
      <c r="AZ36" s="1772">
        <v>6.537687088789422E-2</v>
      </c>
      <c r="BA36" s="1629">
        <v>-3.202382779226979</v>
      </c>
      <c r="BD36" s="1644">
        <v>3.3353043095624431E-2</v>
      </c>
      <c r="BE36" s="1772">
        <v>6.537687088789422E-2</v>
      </c>
      <c r="BF36" s="1772">
        <v>4.673892052546548E-2</v>
      </c>
      <c r="BG36" s="1772">
        <v>0.10337606134612221</v>
      </c>
      <c r="BH36" s="1772">
        <v>2.5218291563299671E-2</v>
      </c>
      <c r="BI36" s="1772">
        <v>2.5669799410857064E-2</v>
      </c>
      <c r="BJ36" s="1772">
        <f>+BJ17/BJ$14</f>
        <v>4.1720231886870254E-2</v>
      </c>
      <c r="BK36" s="1772">
        <f>+BK17/BK$14</f>
        <v>2.6931409922387076E-2</v>
      </c>
    </row>
    <row r="37" spans="1:74" ht="12.75" customHeight="1" x14ac:dyDescent="0.2">
      <c r="A37" s="1630" t="s">
        <v>76</v>
      </c>
      <c r="B37" s="1631"/>
      <c r="C37" s="1629">
        <v>14.767738648276929</v>
      </c>
      <c r="D37" s="1628"/>
      <c r="E37" s="1591"/>
      <c r="F37" s="1592" t="e">
        <v>#DIV/0!</v>
      </c>
      <c r="G37" s="1592" t="e">
        <v>#DIV/0!</v>
      </c>
      <c r="H37" s="1592" t="e">
        <v>#DIV/0!</v>
      </c>
      <c r="I37" s="1592">
        <v>0.7578513745003671</v>
      </c>
      <c r="J37" s="1644">
        <v>0.53690326150441114</v>
      </c>
      <c r="K37" s="1644">
        <v>0.89710643809004464</v>
      </c>
      <c r="L37" s="1644">
        <v>0.56657711468739402</v>
      </c>
      <c r="M37" s="1644">
        <v>0.61017398801759781</v>
      </c>
      <c r="N37" s="1644">
        <v>0.73425921127636418</v>
      </c>
      <c r="O37" s="1644">
        <v>0.84598176599696095</v>
      </c>
      <c r="P37" s="1644">
        <v>0.55238192598650582</v>
      </c>
      <c r="Q37" s="1644">
        <v>0.55466410405399369</v>
      </c>
      <c r="R37" s="1644">
        <v>0.52672734467748317</v>
      </c>
      <c r="S37" s="1644">
        <v>0.50979347710289624</v>
      </c>
      <c r="T37" s="1644">
        <v>0.4993245761132849</v>
      </c>
      <c r="U37" s="1644">
        <v>0.44770184494554077</v>
      </c>
      <c r="V37" s="1644">
        <v>0.59097295398665262</v>
      </c>
      <c r="W37" s="1644">
        <v>0.54104140300126558</v>
      </c>
      <c r="X37" s="1644">
        <v>0.61997233181329092</v>
      </c>
      <c r="Y37" s="1644">
        <v>0.63117727583846683</v>
      </c>
      <c r="Z37" s="1644">
        <v>0.72413272242082471</v>
      </c>
      <c r="AA37" s="1644">
        <v>0.5043144022591779</v>
      </c>
      <c r="AB37" s="1644">
        <v>0.69190404797601202</v>
      </c>
      <c r="AC37" s="1644">
        <v>0.67153363616699113</v>
      </c>
      <c r="AD37" s="1644">
        <v>0.49943568224569529</v>
      </c>
      <c r="AE37" s="1644">
        <v>0.55567933501863831</v>
      </c>
      <c r="AF37" s="1644">
        <v>0.52633875013632891</v>
      </c>
      <c r="AG37" s="1644" t="e">
        <v>#DIV/0!</v>
      </c>
      <c r="AH37" s="1644">
        <v>0.51723611026220895</v>
      </c>
      <c r="AI37" s="1644">
        <v>0.53841046875272991</v>
      </c>
      <c r="AJ37" s="1644">
        <v>0.56449056603773584</v>
      </c>
      <c r="AK37" s="1644">
        <v>0.57280228921275034</v>
      </c>
      <c r="AL37" s="1644" t="e">
        <v>#DIV/0!</v>
      </c>
      <c r="AM37" s="1644" t="e">
        <v>#DIV/0!</v>
      </c>
      <c r="AN37" s="1644" t="e">
        <v>#DIV/0!</v>
      </c>
      <c r="AO37" s="1644" t="e">
        <v>#DIV/0!</v>
      </c>
      <c r="AP37" s="1644" t="e">
        <v>#DIV/0!</v>
      </c>
      <c r="AQ37" s="1773">
        <v>0.52900000000000003</v>
      </c>
      <c r="AR37" s="1773">
        <v>0.47399999999999998</v>
      </c>
      <c r="AS37" s="1773">
        <v>0.49199999999999999</v>
      </c>
      <c r="AT37" s="1773">
        <v>0.54400000000000004</v>
      </c>
      <c r="AU37" s="1773">
        <v>0.50800000000000001</v>
      </c>
      <c r="AV37" s="1773">
        <v>0.48699999999999999</v>
      </c>
      <c r="AW37" s="1773">
        <v>0.52700000000000002</v>
      </c>
      <c r="AX37" s="1608"/>
      <c r="AY37" s="1644">
        <v>0.64017766288055888</v>
      </c>
      <c r="AZ37" s="1772">
        <v>0.64265560272408973</v>
      </c>
      <c r="BA37" s="1629">
        <v>-0.24779398435308408</v>
      </c>
      <c r="BB37" s="1628"/>
      <c r="BC37" s="1633"/>
      <c r="BD37" s="1644">
        <v>0.64017766288055888</v>
      </c>
      <c r="BE37" s="1772">
        <v>0.64265560272408973</v>
      </c>
      <c r="BF37" s="1772">
        <v>0.50087373473319297</v>
      </c>
      <c r="BG37" s="1772">
        <v>0.59158895061181627</v>
      </c>
      <c r="BH37" s="1772">
        <v>0.65401519739026825</v>
      </c>
      <c r="BI37" s="1772">
        <v>0.51703227337958713</v>
      </c>
      <c r="BJ37" s="1772">
        <f t="shared" ref="BJ37:BO37" si="1">BJ18/BJ14</f>
        <v>0.55758362238338954</v>
      </c>
      <c r="BK37" s="1773">
        <f t="shared" si="1"/>
        <v>0.49337684776348628</v>
      </c>
      <c r="BL37" s="1773">
        <f t="shared" si="1"/>
        <v>0.51784808842916541</v>
      </c>
      <c r="BM37" s="1773">
        <f t="shared" si="1"/>
        <v>0.52591676352352823</v>
      </c>
      <c r="BN37" s="1774">
        <f t="shared" si="1"/>
        <v>0.54668040140891871</v>
      </c>
      <c r="BO37" s="1774">
        <f t="shared" si="1"/>
        <v>0.49978547284923452</v>
      </c>
      <c r="BP37" s="1774">
        <v>0.56799999999999995</v>
      </c>
      <c r="BQ37" s="1603"/>
      <c r="BS37" s="1560"/>
      <c r="BT37" s="1560"/>
      <c r="BU37" s="1560"/>
      <c r="BV37" s="1560"/>
    </row>
    <row r="38" spans="1:74" ht="12.75" customHeight="1" x14ac:dyDescent="0.2">
      <c r="A38" s="1246" t="s">
        <v>207</v>
      </c>
      <c r="B38" s="1631"/>
      <c r="C38" s="2010">
        <v>16.482090672167981</v>
      </c>
      <c r="D38" s="1628"/>
      <c r="E38" s="1591"/>
      <c r="F38" s="1592" t="e">
        <v>#DIV/0!</v>
      </c>
      <c r="G38" s="1592" t="e">
        <v>#DIV/0!</v>
      </c>
      <c r="H38" s="1592" t="e">
        <v>#DIV/0!</v>
      </c>
      <c r="I38" s="1592">
        <v>0.81768496614732034</v>
      </c>
      <c r="J38" s="1644">
        <v>0.58974516614921157</v>
      </c>
      <c r="K38" s="1644">
        <v>0.95899935244197543</v>
      </c>
      <c r="L38" s="1644">
        <v>0.61240512272098913</v>
      </c>
      <c r="M38" s="1644">
        <v>0.65286405942564052</v>
      </c>
      <c r="N38" s="1644">
        <v>0.7734103746696378</v>
      </c>
      <c r="O38" s="1644">
        <v>0.92372952895492144</v>
      </c>
      <c r="P38" s="1644">
        <v>0.59016561030464121</v>
      </c>
      <c r="Q38" s="1644">
        <v>0.59569570464399058</v>
      </c>
      <c r="R38" s="1644">
        <v>0.59487138899881287</v>
      </c>
      <c r="S38" s="1644">
        <v>0.57817279741884431</v>
      </c>
      <c r="T38" s="1644">
        <v>0.58582541457052362</v>
      </c>
      <c r="U38" s="1644">
        <v>0.55042110202771122</v>
      </c>
      <c r="V38" s="1644">
        <v>0.67935546188970841</v>
      </c>
      <c r="W38" s="1644">
        <v>0.63074037244621228</v>
      </c>
      <c r="X38" s="1644">
        <v>0.70912537787569807</v>
      </c>
      <c r="Y38" s="1644">
        <v>0.77210814510609171</v>
      </c>
      <c r="Z38" s="1644">
        <v>0.81169125421680677</v>
      </c>
      <c r="AA38" s="1644">
        <v>0.60260433009099468</v>
      </c>
      <c r="AB38" s="1644">
        <v>0.8218033840222746</v>
      </c>
      <c r="AC38" s="1644">
        <v>0.80856586632057104</v>
      </c>
      <c r="AD38" s="1644">
        <v>0.53555201852119805</v>
      </c>
      <c r="AE38" s="1644">
        <v>0.61150863361755003</v>
      </c>
      <c r="AF38" s="1644">
        <v>0.59477587523175923</v>
      </c>
      <c r="AG38" s="1644" t="e">
        <v>#DIV/0!</v>
      </c>
      <c r="AH38" s="1644">
        <v>0.53972862294480772</v>
      </c>
      <c r="AI38" s="1644">
        <v>0.55773363383825147</v>
      </c>
      <c r="AJ38" s="1644">
        <v>0.58128301886792455</v>
      </c>
      <c r="AK38" s="1644">
        <v>0.58840753310707394</v>
      </c>
      <c r="AL38" s="1644" t="e">
        <v>#DIV/0!</v>
      </c>
      <c r="AM38" s="1644" t="e">
        <v>#DIV/0!</v>
      </c>
      <c r="AN38" s="1644" t="e">
        <v>#DIV/0!</v>
      </c>
      <c r="AO38" s="1644" t="e">
        <v>#DIV/0!</v>
      </c>
      <c r="AP38" s="1644" t="e">
        <v>#DIV/0!</v>
      </c>
      <c r="AQ38" s="1773">
        <v>0.55900000000000005</v>
      </c>
      <c r="AR38" s="1773">
        <v>0.51</v>
      </c>
      <c r="AS38" s="1773">
        <v>0.51700000000000002</v>
      </c>
      <c r="AT38" s="1773">
        <v>0.56399999999999995</v>
      </c>
      <c r="AU38" s="1773">
        <v>0.53900000000000003</v>
      </c>
      <c r="AV38" s="1773">
        <v>0.51100000000000001</v>
      </c>
      <c r="AW38" s="1773">
        <v>0.55300000000000005</v>
      </c>
      <c r="AX38" s="1608"/>
      <c r="AY38" s="1644">
        <v>0.68983938835565584</v>
      </c>
      <c r="AZ38" s="1772">
        <v>0.68778135460619971</v>
      </c>
      <c r="BA38" s="1629">
        <v>0.20580337494561229</v>
      </c>
      <c r="BB38" s="1628"/>
      <c r="BC38" s="1633"/>
      <c r="BD38" s="1644">
        <v>0.68983938835565584</v>
      </c>
      <c r="BE38" s="1772">
        <v>0.68778135460619971</v>
      </c>
      <c r="BF38" s="1772">
        <v>0.57939681687367817</v>
      </c>
      <c r="BG38" s="1772">
        <v>0.69024510610297751</v>
      </c>
      <c r="BH38" s="1772">
        <v>0.76090481120465692</v>
      </c>
      <c r="BI38" s="1772">
        <v>0.5715010196704684</v>
      </c>
      <c r="BJ38" s="1772">
        <f t="shared" ref="BJ38:BO38" si="2">(BJ18+BJ19)/BJ14</f>
        <v>0.63574841729934262</v>
      </c>
      <c r="BK38" s="1773">
        <f t="shared" si="2"/>
        <v>0.56965965499273241</v>
      </c>
      <c r="BL38" s="1773">
        <f t="shared" si="2"/>
        <v>0.55627387350843394</v>
      </c>
      <c r="BM38" s="1773">
        <f t="shared" si="2"/>
        <v>0.53576417397980403</v>
      </c>
      <c r="BN38" s="1774">
        <f t="shared" si="2"/>
        <v>0.56272346647172189</v>
      </c>
      <c r="BO38" s="1774">
        <f t="shared" si="2"/>
        <v>0.56988875982377385</v>
      </c>
      <c r="BP38" s="1774">
        <v>0.627</v>
      </c>
      <c r="BQ38" s="1603"/>
      <c r="BS38" s="1560"/>
      <c r="BT38" s="1560"/>
      <c r="BU38" s="1560"/>
      <c r="BV38" s="1560"/>
    </row>
    <row r="39" spans="1:74" ht="12.75" customHeight="1" x14ac:dyDescent="0.2">
      <c r="A39" s="1630" t="s">
        <v>77</v>
      </c>
      <c r="B39" s="1631"/>
      <c r="C39" s="2217">
        <v>15.012760595501396</v>
      </c>
      <c r="D39" s="1628"/>
      <c r="E39" s="1591"/>
      <c r="F39" s="1592" t="e">
        <v>#DIV/0!</v>
      </c>
      <c r="G39" s="1592" t="e">
        <v>#DIV/0!</v>
      </c>
      <c r="H39" s="1592" t="e">
        <v>#DIV/0!</v>
      </c>
      <c r="I39" s="1592">
        <v>0.45313647116404276</v>
      </c>
      <c r="J39" s="1644">
        <v>0.50124496633979898</v>
      </c>
      <c r="K39" s="1644">
        <v>4.0992127057700829</v>
      </c>
      <c r="L39" s="1644">
        <v>0.36145961031847468</v>
      </c>
      <c r="M39" s="1644">
        <v>0.30300886520902881</v>
      </c>
      <c r="N39" s="1644">
        <v>0.61789397315644923</v>
      </c>
      <c r="O39" s="1644">
        <v>0.68432382238730372</v>
      </c>
      <c r="P39" s="1644">
        <v>0.24647311388264159</v>
      </c>
      <c r="Q39" s="1644">
        <v>0.30371429848478076</v>
      </c>
      <c r="R39" s="1644">
        <v>0.21223585278986942</v>
      </c>
      <c r="S39" s="1644">
        <v>0.19670659138295768</v>
      </c>
      <c r="T39" s="1644">
        <v>0.40541736538103224</v>
      </c>
      <c r="U39" s="1644">
        <v>0.32319889352663689</v>
      </c>
      <c r="V39" s="1644">
        <v>0.434404636459431</v>
      </c>
      <c r="W39" s="1644">
        <v>0.42173657566443679</v>
      </c>
      <c r="X39" s="1644">
        <v>0.32558794896756671</v>
      </c>
      <c r="Y39" s="1644">
        <v>0.63021902806297059</v>
      </c>
      <c r="Z39" s="1644">
        <v>1.5814410150546296</v>
      </c>
      <c r="AA39" s="1644">
        <v>0.47607467838092249</v>
      </c>
      <c r="AB39" s="1644">
        <v>0.60184193617476978</v>
      </c>
      <c r="AC39" s="1644">
        <v>0.71425481289206139</v>
      </c>
      <c r="AD39" s="1644">
        <v>0.1941542468528433</v>
      </c>
      <c r="AE39" s="1644">
        <v>0.26187925789451133</v>
      </c>
      <c r="AF39" s="1644">
        <v>0.32653506380194131</v>
      </c>
      <c r="AG39" s="1644" t="e">
        <v>#REF!</v>
      </c>
      <c r="AH39" s="1644">
        <v>0.30658272721716279</v>
      </c>
      <c r="AI39" s="1644">
        <v>0.10480982581197477</v>
      </c>
      <c r="AJ39" s="1644">
        <v>0.15381132075471698</v>
      </c>
      <c r="AK39" s="1644">
        <v>0.14983030545018966</v>
      </c>
      <c r="AL39" s="1644" t="e">
        <v>#REF!</v>
      </c>
      <c r="AM39" s="1644" t="e">
        <v>#REF!</v>
      </c>
      <c r="AN39" s="1644" t="e">
        <v>#REF!</v>
      </c>
      <c r="AO39" s="1644" t="e">
        <v>#REF!</v>
      </c>
      <c r="AP39" s="1644" t="e">
        <v>#REF!</v>
      </c>
      <c r="AQ39" s="1773">
        <v>0.23899999999999999</v>
      </c>
      <c r="AR39" s="1773">
        <v>0.32199999999999995</v>
      </c>
      <c r="AS39" s="1773">
        <v>0.16900000000000004</v>
      </c>
      <c r="AT39" s="1773">
        <v>0.21100000000000008</v>
      </c>
      <c r="AU39" s="1773">
        <v>0.20399999999999996</v>
      </c>
      <c r="AV39" s="1773">
        <v>0.249</v>
      </c>
      <c r="AW39" s="1773">
        <v>0.17899999999999994</v>
      </c>
      <c r="AX39" s="1608"/>
      <c r="AY39" s="1644">
        <v>1.1285786969555294</v>
      </c>
      <c r="AZ39" s="1772">
        <v>0.42134255043541829</v>
      </c>
      <c r="BA39" s="1629">
        <v>70.723614652011108</v>
      </c>
      <c r="BB39" s="1628"/>
      <c r="BC39" s="1633"/>
      <c r="BD39" s="1644">
        <v>1.1285786969555294</v>
      </c>
      <c r="BE39" s="1772">
        <v>0.42134255043541829</v>
      </c>
      <c r="BF39" s="1772">
        <v>0.26765956845511452</v>
      </c>
      <c r="BG39" s="1772">
        <v>0.44018500006326949</v>
      </c>
      <c r="BH39" s="1772">
        <v>0.97087492430605749</v>
      </c>
      <c r="BI39" s="1772">
        <v>0.27604475759897279</v>
      </c>
      <c r="BJ39" s="1772">
        <f t="shared" ref="BJ39:BP39" si="3">(SUM(BJ20:BJ29))/BJ14</f>
        <v>0.24863560288160672</v>
      </c>
      <c r="BK39" s="1772">
        <f t="shared" si="3"/>
        <v>0.4024901955406851</v>
      </c>
      <c r="BL39" s="1772">
        <f t="shared" si="3"/>
        <v>0.19347260250819728</v>
      </c>
      <c r="BM39" s="1772">
        <f t="shared" si="3"/>
        <v>0.13159381964363784</v>
      </c>
      <c r="BN39" s="1772">
        <f t="shared" si="3"/>
        <v>0.13831328504020735</v>
      </c>
      <c r="BO39" s="1772">
        <f t="shared" si="3"/>
        <v>0.13580091880408962</v>
      </c>
      <c r="BP39" s="1772">
        <f t="shared" si="3"/>
        <v>0.10235740798458617</v>
      </c>
      <c r="BQ39" s="1603"/>
      <c r="BS39" s="1560"/>
      <c r="BT39" s="1560"/>
      <c r="BU39" s="1560"/>
      <c r="BV39" s="1560"/>
    </row>
    <row r="40" spans="1:74" ht="12.75" customHeight="1" x14ac:dyDescent="0.2">
      <c r="A40" s="1630" t="s">
        <v>78</v>
      </c>
      <c r="B40" s="1630"/>
      <c r="C40" s="2217">
        <v>31.494851267669375</v>
      </c>
      <c r="D40" s="1628"/>
      <c r="E40" s="1591"/>
      <c r="F40" s="1592" t="e">
        <v>#DIV/0!</v>
      </c>
      <c r="G40" s="1592" t="e">
        <v>#DIV/0!</v>
      </c>
      <c r="H40" s="1592" t="e">
        <v>#DIV/0!</v>
      </c>
      <c r="I40" s="1592">
        <v>1.2708214373113631</v>
      </c>
      <c r="J40" s="1644">
        <v>1.0909901324890106</v>
      </c>
      <c r="K40" s="1644">
        <v>5.0582120582120584</v>
      </c>
      <c r="L40" s="1644">
        <v>0.97386473303946375</v>
      </c>
      <c r="M40" s="1644">
        <v>0.95587292463466933</v>
      </c>
      <c r="N40" s="1644">
        <v>1.3913043478260869</v>
      </c>
      <c r="O40" s="1644">
        <v>1.6080533513422253</v>
      </c>
      <c r="P40" s="1644">
        <v>0.8366387241872828</v>
      </c>
      <c r="Q40" s="1644">
        <v>0.89941000312877128</v>
      </c>
      <c r="R40" s="1644">
        <v>0.80710724178868221</v>
      </c>
      <c r="S40" s="1644">
        <v>0.77487938880180196</v>
      </c>
      <c r="T40" s="1644">
        <v>0.99124277995155585</v>
      </c>
      <c r="U40" s="1644">
        <v>0.87361999555434811</v>
      </c>
      <c r="V40" s="1644">
        <v>1.1137600983491394</v>
      </c>
      <c r="W40" s="1644">
        <v>1.0524769481106491</v>
      </c>
      <c r="X40" s="1644">
        <v>1.0347133268432649</v>
      </c>
      <c r="Y40" s="1644">
        <v>1.4023271731690623</v>
      </c>
      <c r="Z40" s="1644">
        <v>2.3931322692714363</v>
      </c>
      <c r="AA40" s="1644">
        <v>1.0786790084719171</v>
      </c>
      <c r="AB40" s="1644">
        <v>1.4236453201970443</v>
      </c>
      <c r="AC40" s="1644">
        <v>1.5228206792126324</v>
      </c>
      <c r="AD40" s="1644">
        <v>0.72970626537404137</v>
      </c>
      <c r="AE40" s="1644">
        <v>0.87338789151206131</v>
      </c>
      <c r="AF40" s="1644">
        <v>0.92131093903370054</v>
      </c>
      <c r="AG40" s="1644" t="e">
        <v>#DIV/0!</v>
      </c>
      <c r="AH40" s="1644">
        <v>0.84631135016197057</v>
      </c>
      <c r="AI40" s="1644">
        <v>0.66254345965022621</v>
      </c>
      <c r="AJ40" s="1644">
        <v>0.73509433962264148</v>
      </c>
      <c r="AK40" s="1644">
        <v>0.73823783855726355</v>
      </c>
      <c r="AL40" s="1644" t="e">
        <v>#DIV/0!</v>
      </c>
      <c r="AM40" s="1644" t="e">
        <v>#DIV/0!</v>
      </c>
      <c r="AN40" s="1644" t="e">
        <v>#DIV/0!</v>
      </c>
      <c r="AO40" s="1644" t="e">
        <v>#DIV/0!</v>
      </c>
      <c r="AP40" s="1644" t="e">
        <v>#DIV/0!</v>
      </c>
      <c r="AQ40" s="1773">
        <v>0.79800000000000004</v>
      </c>
      <c r="AR40" s="1773">
        <v>0.83199999999999996</v>
      </c>
      <c r="AS40" s="1773">
        <v>0.68600000000000005</v>
      </c>
      <c r="AT40" s="1773">
        <v>0.77500000000000002</v>
      </c>
      <c r="AU40" s="1773">
        <v>0.74299999999999999</v>
      </c>
      <c r="AV40" s="1773">
        <v>0.76</v>
      </c>
      <c r="AW40" s="1773">
        <v>0.73199999999999998</v>
      </c>
      <c r="AX40" s="1608"/>
      <c r="AY40" s="1644">
        <v>1.8184180853111851</v>
      </c>
      <c r="AZ40" s="1772">
        <v>1.109123905041618</v>
      </c>
      <c r="BA40" s="1629">
        <v>70.929418026956711</v>
      </c>
      <c r="BB40" s="1628"/>
      <c r="BC40" s="1633"/>
      <c r="BD40" s="1644">
        <v>1.8184180853111851</v>
      </c>
      <c r="BE40" s="1772">
        <v>1.109123905041618</v>
      </c>
      <c r="BF40" s="1772">
        <v>0.84705638532879279</v>
      </c>
      <c r="BG40" s="1772">
        <v>1.130430106166247</v>
      </c>
      <c r="BH40" s="1772">
        <v>1.7317797355107143</v>
      </c>
      <c r="BI40" s="1772">
        <v>0.84754577726944114</v>
      </c>
      <c r="BJ40" s="1772">
        <f t="shared" ref="BJ40:BO40" si="4">BJ30/BJ14</f>
        <v>0.88438402018094942</v>
      </c>
      <c r="BK40" s="1773">
        <f t="shared" si="4"/>
        <v>0.9721498505334174</v>
      </c>
      <c r="BL40" s="1773">
        <f t="shared" si="4"/>
        <v>0.74974647601663114</v>
      </c>
      <c r="BM40" s="1773">
        <f t="shared" si="4"/>
        <v>0.66735799362344184</v>
      </c>
      <c r="BN40" s="1774">
        <f t="shared" si="4"/>
        <v>0.70103675151192923</v>
      </c>
      <c r="BO40" s="1774">
        <f t="shared" si="4"/>
        <v>0.70568967862786336</v>
      </c>
      <c r="BP40" s="1774">
        <v>0.73</v>
      </c>
      <c r="BQ40" s="1603"/>
      <c r="BS40" s="1560"/>
      <c r="BT40" s="1560"/>
      <c r="BU40" s="1560"/>
      <c r="BV40" s="1560"/>
    </row>
    <row r="41" spans="1:74" ht="12.75" customHeight="1" x14ac:dyDescent="0.2">
      <c r="A41" s="1630" t="s">
        <v>79</v>
      </c>
      <c r="B41" s="1630"/>
      <c r="C41" s="2217">
        <v>-31.494851267669372</v>
      </c>
      <c r="D41" s="1628"/>
      <c r="E41" s="1591"/>
      <c r="F41" s="1592" t="e">
        <v>#DIV/0!</v>
      </c>
      <c r="G41" s="1592" t="e">
        <v>#DIV/0!</v>
      </c>
      <c r="H41" s="1592" t="e">
        <v>#DIV/0!</v>
      </c>
      <c r="I41" s="1592">
        <v>-0.2708214373113631</v>
      </c>
      <c r="J41" s="1644">
        <v>-9.0990132489010486E-2</v>
      </c>
      <c r="K41" s="1644">
        <v>-4.0582120582120584</v>
      </c>
      <c r="L41" s="1644">
        <v>2.6135266960536269E-2</v>
      </c>
      <c r="M41" s="1644">
        <v>4.4127075365330622E-2</v>
      </c>
      <c r="N41" s="1644">
        <v>-0.39130434782608697</v>
      </c>
      <c r="O41" s="1644">
        <v>-0.60805335134222527</v>
      </c>
      <c r="P41" s="1644">
        <v>0.16336127581271723</v>
      </c>
      <c r="Q41" s="1644">
        <v>0.10058999687122872</v>
      </c>
      <c r="R41" s="1644">
        <v>0.19289275821131777</v>
      </c>
      <c r="S41" s="1644">
        <v>0.22512061119819807</v>
      </c>
      <c r="T41" s="1644">
        <v>8.7572200484441962E-3</v>
      </c>
      <c r="U41" s="1644">
        <v>0.12638000444565189</v>
      </c>
      <c r="V41" s="1644">
        <v>-0.11376009834913944</v>
      </c>
      <c r="W41" s="1644">
        <v>-5.2476948110649069E-2</v>
      </c>
      <c r="X41" s="1644">
        <v>-3.4713326843264843E-2</v>
      </c>
      <c r="Y41" s="1644">
        <v>-0.4023271731690623</v>
      </c>
      <c r="Z41" s="1644">
        <v>-1.3931322692714365</v>
      </c>
      <c r="AA41" s="1644">
        <v>-7.8679008471917167E-2</v>
      </c>
      <c r="AB41" s="1644">
        <v>-0.42364532019704432</v>
      </c>
      <c r="AC41" s="1644">
        <v>-0.52282067921263253</v>
      </c>
      <c r="AD41" s="1644">
        <v>0.27029373462595863</v>
      </c>
      <c r="AE41" s="1644">
        <v>0.12661210848793863</v>
      </c>
      <c r="AF41" s="1644">
        <v>7.868906096629949E-2</v>
      </c>
      <c r="AG41" s="1644" t="e">
        <v>#REF!</v>
      </c>
      <c r="AH41" s="1644">
        <v>9.9993887904162332E-2</v>
      </c>
      <c r="AI41" s="1644">
        <v>0.31154672676765027</v>
      </c>
      <c r="AJ41" s="1644">
        <v>0.2130566037735849</v>
      </c>
      <c r="AK41" s="1644">
        <v>0.21321621082052306</v>
      </c>
      <c r="AL41" s="1644" t="e">
        <v>#REF!</v>
      </c>
      <c r="AM41" s="1644" t="e">
        <v>#REF!</v>
      </c>
      <c r="AN41" s="1644" t="e">
        <v>#REF!</v>
      </c>
      <c r="AO41" s="1644" t="e">
        <v>#REF!</v>
      </c>
      <c r="AP41" s="1644" t="e">
        <v>#REF!</v>
      </c>
      <c r="AQ41" s="1775" t="s">
        <v>177</v>
      </c>
      <c r="AR41" s="1775" t="s">
        <v>177</v>
      </c>
      <c r="AS41" s="1628"/>
      <c r="AT41" s="1628"/>
      <c r="AU41" s="1628"/>
      <c r="AV41" s="1628"/>
      <c r="AW41" s="1628"/>
      <c r="AX41" s="1776"/>
      <c r="AY41" s="1644">
        <v>-0.8184180853111851</v>
      </c>
      <c r="AZ41" s="1772">
        <v>-0.10912390504161804</v>
      </c>
      <c r="BA41" s="1629">
        <v>-70.929418026956697</v>
      </c>
      <c r="BB41" s="1628"/>
      <c r="BC41" s="1777"/>
      <c r="BD41" s="1644">
        <v>-0.8184180853111851</v>
      </c>
      <c r="BE41" s="1772">
        <v>-0.10912390504161804</v>
      </c>
      <c r="BF41" s="1772">
        <v>0.15294361467120726</v>
      </c>
      <c r="BG41" s="1772">
        <v>-0.13043010616624698</v>
      </c>
      <c r="BH41" s="1772">
        <v>-0.7317797355107144</v>
      </c>
      <c r="BI41" s="1772">
        <v>0.15245422273055884</v>
      </c>
      <c r="BJ41" s="1772">
        <f t="shared" ref="BJ41:BO41" si="5">BJ31/BJ14</f>
        <v>0.11561597981905063</v>
      </c>
      <c r="BK41" s="1773">
        <f t="shared" si="5"/>
        <v>2.7850149466582562E-2</v>
      </c>
      <c r="BL41" s="1773">
        <f t="shared" si="5"/>
        <v>0.25025352398336881</v>
      </c>
      <c r="BM41" s="1773" t="e">
        <f t="shared" si="5"/>
        <v>#REF!</v>
      </c>
      <c r="BN41" s="1774" t="e">
        <f t="shared" si="5"/>
        <v>#REF!</v>
      </c>
      <c r="BO41" s="1774" t="e">
        <f t="shared" si="5"/>
        <v>#REF!</v>
      </c>
      <c r="BP41" s="1774"/>
      <c r="BQ41" s="1603"/>
      <c r="BS41" s="1560"/>
      <c r="BT41" s="1560"/>
      <c r="BU41" s="1560"/>
      <c r="BV41" s="1560"/>
    </row>
    <row r="42" spans="1:74" ht="12.75" customHeight="1" x14ac:dyDescent="0.2">
      <c r="A42" s="1608"/>
      <c r="B42" s="1608"/>
      <c r="C42" s="1633"/>
      <c r="D42" s="1633"/>
      <c r="E42" s="1573"/>
      <c r="F42" s="1564"/>
      <c r="G42" s="1564"/>
      <c r="H42" s="1564"/>
      <c r="I42" s="1564"/>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1608"/>
      <c r="AJ42" s="1608"/>
      <c r="AK42" s="1608"/>
      <c r="AL42" s="1608"/>
      <c r="AM42" s="1608"/>
      <c r="AN42" s="1608"/>
      <c r="AO42" s="1608"/>
      <c r="AP42" s="1608"/>
      <c r="AQ42" s="1608"/>
      <c r="AR42" s="1608"/>
      <c r="AS42" s="1608"/>
      <c r="AT42" s="1608"/>
      <c r="AU42" s="1608"/>
      <c r="AV42" s="1608"/>
      <c r="AW42" s="1608"/>
      <c r="AX42" s="1608"/>
      <c r="AY42" s="1608"/>
      <c r="AZ42" s="1633"/>
      <c r="BA42" s="1688"/>
      <c r="BB42" s="1688"/>
      <c r="BC42" s="1633"/>
      <c r="BD42" s="1608"/>
      <c r="BE42" s="1633"/>
      <c r="BF42" s="1633"/>
      <c r="BG42" s="1633"/>
      <c r="BH42" s="1633"/>
      <c r="BI42" s="1633"/>
      <c r="BJ42" s="1633"/>
      <c r="BK42" s="1633"/>
      <c r="BL42" s="1633"/>
      <c r="BM42" s="1633"/>
      <c r="BN42" s="1779"/>
      <c r="BO42" s="1779"/>
      <c r="BP42" s="1779"/>
      <c r="BQ42" s="1603"/>
      <c r="BS42" s="1560"/>
      <c r="BT42" s="1560"/>
      <c r="BU42" s="1560"/>
      <c r="BV42" s="1560"/>
    </row>
    <row r="43" spans="1:74" ht="12.75" customHeight="1" x14ac:dyDescent="0.2">
      <c r="A43" s="1631" t="s">
        <v>88</v>
      </c>
      <c r="B43" s="1631"/>
      <c r="C43" s="1248">
        <v>-64</v>
      </c>
      <c r="D43" s="1628">
        <v>-0.19937694704049844</v>
      </c>
      <c r="E43" s="1591"/>
      <c r="F43" s="1195">
        <v>0</v>
      </c>
      <c r="G43" s="1195">
        <v>0</v>
      </c>
      <c r="H43" s="1195">
        <v>0</v>
      </c>
      <c r="I43" s="1195">
        <v>257</v>
      </c>
      <c r="J43" s="1248">
        <v>279</v>
      </c>
      <c r="K43" s="1248">
        <v>291</v>
      </c>
      <c r="L43" s="1248">
        <v>303</v>
      </c>
      <c r="M43" s="1248">
        <v>321</v>
      </c>
      <c r="N43" s="1248">
        <v>329</v>
      </c>
      <c r="O43" s="1248">
        <v>373</v>
      </c>
      <c r="P43" s="1248">
        <v>384</v>
      </c>
      <c r="Q43" s="1248">
        <v>372</v>
      </c>
      <c r="R43" s="1248">
        <v>372</v>
      </c>
      <c r="S43" s="1248">
        <v>361</v>
      </c>
      <c r="T43" s="1248">
        <v>385</v>
      </c>
      <c r="U43" s="1248">
        <v>388</v>
      </c>
      <c r="V43" s="1248">
        <v>400</v>
      </c>
      <c r="W43" s="1248">
        <v>424</v>
      </c>
      <c r="X43" s="1248">
        <v>420</v>
      </c>
      <c r="Y43" s="1248">
        <v>427</v>
      </c>
      <c r="Z43" s="1248">
        <v>461</v>
      </c>
      <c r="AA43" s="1248">
        <v>143</v>
      </c>
      <c r="AB43" s="1248">
        <v>152</v>
      </c>
      <c r="AC43" s="1248"/>
      <c r="AD43" s="1248"/>
      <c r="AE43" s="1248"/>
      <c r="AF43" s="1248"/>
      <c r="AG43" s="1248"/>
      <c r="AH43" s="1248"/>
      <c r="AI43" s="1248"/>
      <c r="AJ43" s="1248"/>
      <c r="AK43" s="1248"/>
      <c r="AL43" s="1248"/>
      <c r="AM43" s="1248"/>
      <c r="AN43" s="1248"/>
      <c r="AO43" s="1322"/>
      <c r="AP43" s="1322"/>
      <c r="AQ43" s="1324"/>
      <c r="AR43" s="1324"/>
      <c r="AS43" s="1324"/>
      <c r="AT43" s="1322"/>
      <c r="AU43" s="1322"/>
      <c r="AV43" s="1322"/>
      <c r="AW43" s="1322"/>
      <c r="AX43" s="1322"/>
      <c r="AY43" s="1322">
        <v>279</v>
      </c>
      <c r="AZ43" s="1294">
        <v>329</v>
      </c>
      <c r="BA43" s="1701">
        <v>-50</v>
      </c>
      <c r="BB43" s="1628">
        <v>-0.1519756838905775</v>
      </c>
      <c r="BC43" s="1633"/>
      <c r="BD43" s="1248">
        <v>279</v>
      </c>
      <c r="BE43" s="1322">
        <v>329</v>
      </c>
      <c r="BF43" s="1322">
        <v>372</v>
      </c>
      <c r="BG43" s="1322">
        <v>400</v>
      </c>
      <c r="BH43" s="1322">
        <v>461</v>
      </c>
      <c r="BI43" s="1322">
        <v>143</v>
      </c>
      <c r="BJ43" s="1322">
        <v>138</v>
      </c>
      <c r="BK43" s="1322">
        <v>105</v>
      </c>
      <c r="BL43" s="1773"/>
      <c r="BM43" s="1644"/>
      <c r="BN43" s="1778"/>
      <c r="BO43" s="1778"/>
      <c r="BP43" s="1778"/>
      <c r="BQ43" s="1603"/>
      <c r="BS43" s="1560"/>
      <c r="BT43" s="1560"/>
      <c r="BU43" s="1560"/>
      <c r="BV43" s="1560"/>
    </row>
    <row r="44" spans="1:74" ht="12.75" customHeight="1" x14ac:dyDescent="0.2">
      <c r="A44" s="1631"/>
      <c r="B44" s="1631"/>
      <c r="C44" s="1629"/>
      <c r="D44" s="1628"/>
      <c r="E44" s="1591"/>
      <c r="F44" s="1591"/>
      <c r="G44" s="1591"/>
      <c r="H44" s="1591"/>
      <c r="I44" s="1195"/>
      <c r="J44" s="1628"/>
      <c r="K44" s="1628"/>
      <c r="L44" s="1628"/>
      <c r="M44" s="1248"/>
      <c r="N44" s="1628"/>
      <c r="O44" s="1628"/>
      <c r="P44" s="1628"/>
      <c r="Q44" s="1248"/>
      <c r="R44" s="1628"/>
      <c r="S44" s="1628"/>
      <c r="T44" s="1628"/>
      <c r="U44" s="1248"/>
      <c r="V44" s="1248"/>
      <c r="W44" s="1248"/>
      <c r="X44" s="1248"/>
      <c r="Y44" s="1248"/>
      <c r="Z44" s="1248"/>
      <c r="AA44" s="1248"/>
      <c r="AB44" s="1248"/>
      <c r="AC44" s="1248"/>
      <c r="AD44" s="1248"/>
      <c r="AE44" s="1248"/>
      <c r="AF44" s="1248"/>
      <c r="AG44" s="1248"/>
      <c r="AH44" s="1248"/>
      <c r="AI44" s="1248"/>
      <c r="AJ44" s="1248"/>
      <c r="AK44" s="1248"/>
      <c r="AL44" s="1248"/>
      <c r="AM44" s="1248"/>
      <c r="AN44" s="1248"/>
      <c r="AO44" s="1322"/>
      <c r="AP44" s="1322"/>
      <c r="AQ44" s="1324"/>
      <c r="AR44" s="1324"/>
      <c r="AS44" s="1324"/>
      <c r="AT44" s="1322"/>
      <c r="AU44" s="1322"/>
      <c r="AV44" s="1322"/>
      <c r="AW44" s="1322"/>
      <c r="AX44" s="1322"/>
      <c r="AY44" s="1322"/>
      <c r="AZ44" s="1294"/>
      <c r="BA44" s="1701"/>
      <c r="BB44" s="1628"/>
      <c r="BC44" s="1633"/>
      <c r="BD44" s="1322"/>
      <c r="BE44" s="1322"/>
      <c r="BF44" s="1322"/>
      <c r="BG44" s="1322"/>
      <c r="BH44" s="1322"/>
      <c r="BI44" s="1322"/>
      <c r="BJ44" s="1322"/>
      <c r="BK44" s="1322"/>
      <c r="BL44" s="1773"/>
      <c r="BM44" s="1644"/>
      <c r="BN44" s="1778"/>
      <c r="BO44" s="1778"/>
      <c r="BP44" s="1778"/>
      <c r="BQ44" s="1603"/>
      <c r="BS44" s="1560"/>
      <c r="BT44" s="1560"/>
      <c r="BU44" s="1560"/>
      <c r="BV44" s="1560"/>
    </row>
    <row r="45" spans="1:74" ht="18" customHeight="1" x14ac:dyDescent="0.2">
      <c r="A45" s="1634" t="s">
        <v>252</v>
      </c>
      <c r="B45" s="1608"/>
      <c r="C45" s="1635"/>
      <c r="D45" s="1635"/>
      <c r="E45" s="1573"/>
      <c r="F45" s="1573"/>
      <c r="G45" s="1564"/>
      <c r="H45" s="1564"/>
      <c r="I45" s="1564"/>
      <c r="J45" s="1633"/>
      <c r="K45" s="1608"/>
      <c r="L45" s="1608"/>
      <c r="M45" s="1608"/>
      <c r="N45" s="1608"/>
      <c r="O45" s="1608"/>
      <c r="P45" s="1608"/>
      <c r="Q45" s="1608"/>
      <c r="R45" s="1608"/>
      <c r="S45" s="1608"/>
      <c r="T45" s="1608"/>
      <c r="U45" s="1608"/>
      <c r="V45" s="1608"/>
      <c r="W45" s="1608"/>
      <c r="X45" s="1608"/>
      <c r="Y45" s="1608"/>
      <c r="Z45" s="1608"/>
      <c r="AA45" s="1608"/>
      <c r="AB45" s="1608"/>
      <c r="AC45" s="1608"/>
      <c r="AD45" s="1608"/>
      <c r="AE45" s="1608"/>
      <c r="AF45" s="1608"/>
      <c r="AG45" s="1608"/>
      <c r="AH45" s="1608"/>
      <c r="AI45" s="1608"/>
      <c r="AJ45" s="1608"/>
      <c r="AK45" s="1608"/>
      <c r="AL45" s="1608"/>
      <c r="AM45" s="1608"/>
      <c r="AN45" s="1608"/>
      <c r="AO45" s="1608"/>
      <c r="AP45" s="1608"/>
      <c r="AQ45" s="1608"/>
      <c r="AR45" s="1622"/>
      <c r="AS45" s="1622"/>
      <c r="AT45" s="1622"/>
      <c r="AU45" s="1622"/>
      <c r="AV45" s="1622"/>
      <c r="AW45" s="1622"/>
      <c r="AX45" s="1608"/>
      <c r="AY45" s="1622"/>
      <c r="AZ45" s="1635"/>
      <c r="BA45" s="1688"/>
      <c r="BB45" s="1688"/>
      <c r="BC45" s="1635"/>
      <c r="BD45" s="1635"/>
      <c r="BE45" s="1635"/>
      <c r="BF45" s="1635"/>
      <c r="BG45" s="1635"/>
      <c r="BH45" s="1635"/>
      <c r="BI45" s="1635"/>
      <c r="BJ45" s="1635"/>
      <c r="BK45" s="1635"/>
      <c r="BL45" s="1635"/>
      <c r="BM45" s="1635"/>
      <c r="BN45" s="1780"/>
      <c r="BO45" s="1780"/>
      <c r="BP45" s="1780"/>
      <c r="BQ45" s="1603"/>
      <c r="BS45" s="1560"/>
      <c r="BT45" s="1560"/>
      <c r="BU45" s="1560"/>
      <c r="BV45" s="1560"/>
    </row>
    <row r="46" spans="1:74" ht="12.75" customHeight="1" x14ac:dyDescent="0.2">
      <c r="A46" s="1636"/>
      <c r="B46" s="1608"/>
      <c r="C46" s="1635"/>
      <c r="D46" s="1635"/>
      <c r="E46" s="1573"/>
      <c r="F46" s="1573"/>
      <c r="G46" s="2358"/>
      <c r="H46" s="2358"/>
      <c r="I46" s="1564"/>
      <c r="J46" s="1633"/>
      <c r="K46" s="1974"/>
      <c r="L46" s="1974"/>
      <c r="M46" s="1608"/>
      <c r="N46" s="1608"/>
      <c r="O46" s="1974"/>
      <c r="P46" s="1974"/>
      <c r="Q46" s="1608"/>
      <c r="R46" s="1608"/>
      <c r="S46" s="1974"/>
      <c r="T46" s="1974"/>
      <c r="U46" s="1608"/>
      <c r="V46" s="1608"/>
      <c r="W46" s="1608"/>
      <c r="X46" s="1974"/>
      <c r="Y46" s="1608"/>
      <c r="Z46" s="1608"/>
      <c r="AA46" s="1608"/>
      <c r="AB46" s="1974"/>
      <c r="AC46" s="1608"/>
      <c r="AD46" s="1974"/>
      <c r="AE46" s="1608"/>
      <c r="AF46" s="1974"/>
      <c r="AG46" s="1608"/>
      <c r="AH46" s="1974"/>
      <c r="AI46" s="1608"/>
      <c r="AJ46" s="1974"/>
      <c r="AK46" s="1608"/>
      <c r="AL46" s="1974"/>
      <c r="AM46" s="1608"/>
      <c r="AN46" s="1608"/>
      <c r="AO46" s="1608"/>
      <c r="AP46" s="1608"/>
      <c r="AQ46" s="1608"/>
      <c r="AR46" s="1622"/>
      <c r="AS46" s="1622"/>
      <c r="AT46" s="1622"/>
      <c r="AU46" s="1622"/>
      <c r="AV46" s="1622"/>
      <c r="AW46" s="1622"/>
      <c r="AX46" s="1608"/>
      <c r="AY46" s="1622"/>
      <c r="AZ46" s="1635"/>
      <c r="BA46" s="1688"/>
      <c r="BB46" s="1688"/>
      <c r="BC46" s="1635"/>
      <c r="BD46" s="1635"/>
      <c r="BE46" s="1635"/>
      <c r="BF46" s="1635"/>
      <c r="BG46" s="1635"/>
      <c r="BH46" s="1635"/>
      <c r="BI46" s="1635"/>
      <c r="BJ46" s="1635"/>
      <c r="BK46" s="1635"/>
      <c r="BL46" s="1635"/>
      <c r="BM46" s="1635"/>
      <c r="BN46" s="1780"/>
      <c r="BO46" s="1780"/>
      <c r="BP46" s="1780"/>
      <c r="BQ46" s="1603"/>
      <c r="BS46" s="1560"/>
      <c r="BT46" s="1560"/>
      <c r="BU46" s="1560"/>
      <c r="BV46" s="1560"/>
    </row>
    <row r="47" spans="1:74" ht="12.75" customHeight="1" x14ac:dyDescent="0.2">
      <c r="A47" s="1607"/>
      <c r="B47" s="1608"/>
      <c r="C47" s="2486" t="s">
        <v>456</v>
      </c>
      <c r="D47" s="2487"/>
      <c r="E47" s="1565"/>
      <c r="F47" s="1878"/>
      <c r="G47" s="1573"/>
      <c r="H47" s="1573"/>
      <c r="I47" s="2348"/>
      <c r="J47" s="1888"/>
      <c r="K47" s="1633"/>
      <c r="L47" s="1633"/>
      <c r="M47" s="1889"/>
      <c r="N47" s="1888"/>
      <c r="O47" s="1633"/>
      <c r="P47" s="1633"/>
      <c r="Q47" s="1889"/>
      <c r="R47" s="1888"/>
      <c r="S47" s="1633"/>
      <c r="T47" s="1633"/>
      <c r="U47" s="1889"/>
      <c r="V47" s="1888"/>
      <c r="W47" s="1888"/>
      <c r="X47" s="1633"/>
      <c r="Y47" s="1889"/>
      <c r="Z47" s="1888"/>
      <c r="AA47" s="1888"/>
      <c r="AB47" s="1633"/>
      <c r="AC47" s="1889"/>
      <c r="AD47" s="1633"/>
      <c r="AE47" s="1888"/>
      <c r="AF47" s="1633"/>
      <c r="AG47" s="1889"/>
      <c r="AH47" s="1633"/>
      <c r="AI47" s="1888"/>
      <c r="AJ47" s="1633"/>
      <c r="AK47" s="1889"/>
      <c r="AL47" s="1888"/>
      <c r="AM47" s="1888"/>
      <c r="AN47" s="1888"/>
      <c r="AO47" s="1889"/>
      <c r="AP47" s="1888"/>
      <c r="AQ47" s="1888"/>
      <c r="AR47" s="1888"/>
      <c r="AS47" s="1888"/>
      <c r="AT47" s="1782"/>
      <c r="AU47" s="1889"/>
      <c r="AV47" s="1889"/>
      <c r="AW47" s="1889"/>
      <c r="AX47" s="1687"/>
      <c r="AY47" s="1006" t="s">
        <v>448</v>
      </c>
      <c r="AZ47" s="1006"/>
      <c r="BA47" s="1006" t="s">
        <v>441</v>
      </c>
      <c r="BB47" s="1007"/>
      <c r="BC47" s="1662"/>
      <c r="BD47" s="1663"/>
      <c r="BE47" s="1663"/>
      <c r="BF47" s="1663"/>
      <c r="BG47" s="1663"/>
      <c r="BH47" s="1663"/>
      <c r="BI47" s="1663"/>
      <c r="BJ47" s="1663"/>
      <c r="BK47" s="1663"/>
      <c r="BL47" s="1782"/>
      <c r="BM47" s="1783"/>
      <c r="BN47" s="1663"/>
      <c r="BO47" s="1663"/>
      <c r="BP47" s="1663"/>
      <c r="BQ47" s="1666"/>
      <c r="BS47" s="1560"/>
      <c r="BT47" s="1560"/>
      <c r="BU47" s="1560"/>
      <c r="BV47" s="1560"/>
    </row>
    <row r="48" spans="1:74" ht="12.75" customHeight="1" x14ac:dyDescent="0.2">
      <c r="A48" s="1607" t="s">
        <v>2</v>
      </c>
      <c r="B48" s="1608"/>
      <c r="C48" s="2488" t="s">
        <v>39</v>
      </c>
      <c r="D48" s="2489"/>
      <c r="E48" s="1589"/>
      <c r="F48" s="925" t="s">
        <v>452</v>
      </c>
      <c r="G48" s="925" t="s">
        <v>453</v>
      </c>
      <c r="H48" s="925" t="s">
        <v>454</v>
      </c>
      <c r="I48" s="2281" t="s">
        <v>455</v>
      </c>
      <c r="J48" s="1010" t="s">
        <v>399</v>
      </c>
      <c r="K48" s="1010" t="s">
        <v>398</v>
      </c>
      <c r="L48" s="1010" t="s">
        <v>397</v>
      </c>
      <c r="M48" s="1011" t="s">
        <v>395</v>
      </c>
      <c r="N48" s="1010" t="s">
        <v>373</v>
      </c>
      <c r="O48" s="1010" t="s">
        <v>374</v>
      </c>
      <c r="P48" s="1010" t="s">
        <v>375</v>
      </c>
      <c r="Q48" s="1011" t="s">
        <v>376</v>
      </c>
      <c r="R48" s="1667" t="s">
        <v>330</v>
      </c>
      <c r="S48" s="1667" t="s">
        <v>329</v>
      </c>
      <c r="T48" s="1667" t="s">
        <v>328</v>
      </c>
      <c r="U48" s="1668" t="s">
        <v>326</v>
      </c>
      <c r="V48" s="1667" t="s">
        <v>282</v>
      </c>
      <c r="W48" s="1667" t="s">
        <v>283</v>
      </c>
      <c r="X48" s="1667" t="s">
        <v>284</v>
      </c>
      <c r="Y48" s="1668" t="s">
        <v>285</v>
      </c>
      <c r="Z48" s="1667" t="s">
        <v>220</v>
      </c>
      <c r="AA48" s="1667" t="s">
        <v>221</v>
      </c>
      <c r="AB48" s="1667" t="s">
        <v>222</v>
      </c>
      <c r="AC48" s="1668" t="s">
        <v>219</v>
      </c>
      <c r="AD48" s="1667" t="s">
        <v>185</v>
      </c>
      <c r="AE48" s="1667" t="s">
        <v>186</v>
      </c>
      <c r="AF48" s="1667" t="s">
        <v>187</v>
      </c>
      <c r="AG48" s="1668" t="s">
        <v>188</v>
      </c>
      <c r="AH48" s="1667" t="s">
        <v>118</v>
      </c>
      <c r="AI48" s="1667" t="s">
        <v>117</v>
      </c>
      <c r="AJ48" s="1667" t="s">
        <v>116</v>
      </c>
      <c r="AK48" s="1668" t="s">
        <v>115</v>
      </c>
      <c r="AL48" s="1667" t="s">
        <v>83</v>
      </c>
      <c r="AM48" s="1667" t="s">
        <v>84</v>
      </c>
      <c r="AN48" s="1667" t="s">
        <v>85</v>
      </c>
      <c r="AO48" s="1668" t="s">
        <v>30</v>
      </c>
      <c r="AP48" s="1667" t="s">
        <v>31</v>
      </c>
      <c r="AQ48" s="1667" t="s">
        <v>32</v>
      </c>
      <c r="AR48" s="1667" t="s">
        <v>33</v>
      </c>
      <c r="AS48" s="1667" t="s">
        <v>34</v>
      </c>
      <c r="AT48" s="1669" t="s">
        <v>35</v>
      </c>
      <c r="AU48" s="1668" t="s">
        <v>36</v>
      </c>
      <c r="AV48" s="1668" t="s">
        <v>37</v>
      </c>
      <c r="AW48" s="1668" t="s">
        <v>38</v>
      </c>
      <c r="AX48" s="1661"/>
      <c r="AY48" s="1010" t="s">
        <v>399</v>
      </c>
      <c r="AZ48" s="1010" t="s">
        <v>373</v>
      </c>
      <c r="BA48" s="2485" t="s">
        <v>39</v>
      </c>
      <c r="BB48" s="2458"/>
      <c r="BC48" s="1784"/>
      <c r="BD48" s="1012" t="s">
        <v>438</v>
      </c>
      <c r="BE48" s="1012" t="s">
        <v>385</v>
      </c>
      <c r="BF48" s="1012" t="s">
        <v>332</v>
      </c>
      <c r="BG48" s="1669" t="s">
        <v>287</v>
      </c>
      <c r="BH48" s="1669" t="s">
        <v>224</v>
      </c>
      <c r="BI48" s="1669" t="s">
        <v>120</v>
      </c>
      <c r="BJ48" s="1669" t="s">
        <v>119</v>
      </c>
      <c r="BK48" s="1669" t="s">
        <v>43</v>
      </c>
      <c r="BL48" s="1669" t="s">
        <v>40</v>
      </c>
      <c r="BM48" s="1672" t="s">
        <v>41</v>
      </c>
      <c r="BN48" s="1672" t="s">
        <v>138</v>
      </c>
      <c r="BO48" s="1672" t="s">
        <v>139</v>
      </c>
      <c r="BP48" s="1672" t="s">
        <v>140</v>
      </c>
      <c r="BQ48" s="1666"/>
      <c r="BS48" s="1560"/>
      <c r="BT48" s="1560"/>
      <c r="BU48" s="1560"/>
      <c r="BV48" s="1560"/>
    </row>
    <row r="49" spans="1:74" ht="12.75" customHeight="1" x14ac:dyDescent="0.2">
      <c r="A49" s="1637"/>
      <c r="B49" s="1633" t="s">
        <v>4</v>
      </c>
      <c r="C49" s="1638">
        <v>-20715</v>
      </c>
      <c r="D49" s="1639">
        <v>-0.45796210731103398</v>
      </c>
      <c r="E49" s="1572"/>
      <c r="F49" s="1593">
        <v>0</v>
      </c>
      <c r="G49" s="1593">
        <v>0</v>
      </c>
      <c r="H49" s="1593">
        <v>0</v>
      </c>
      <c r="I49" s="2335">
        <v>24518</v>
      </c>
      <c r="J49" s="1785">
        <v>32531</v>
      </c>
      <c r="K49" s="1785">
        <v>29341</v>
      </c>
      <c r="L49" s="1785">
        <v>38339</v>
      </c>
      <c r="M49" s="1786">
        <v>45233</v>
      </c>
      <c r="N49" s="1785">
        <v>38594</v>
      </c>
      <c r="O49" s="1785">
        <v>23692</v>
      </c>
      <c r="P49" s="1785">
        <v>48910</v>
      </c>
      <c r="Q49" s="1786">
        <v>44746</v>
      </c>
      <c r="R49" s="1785">
        <v>63175</v>
      </c>
      <c r="S49" s="1785">
        <v>65707</v>
      </c>
      <c r="T49" s="1785">
        <v>42936</v>
      </c>
      <c r="U49" s="1786">
        <v>40489</v>
      </c>
      <c r="V49" s="1785">
        <v>45552</v>
      </c>
      <c r="W49" s="1785">
        <v>44248</v>
      </c>
      <c r="X49" s="1785">
        <v>39034</v>
      </c>
      <c r="Y49" s="1786">
        <v>29220</v>
      </c>
      <c r="Z49" s="1785">
        <v>19861</v>
      </c>
      <c r="AA49" s="1785">
        <v>12748</v>
      </c>
      <c r="AB49" s="1785">
        <v>9338</v>
      </c>
      <c r="AC49" s="1786">
        <v>9246</v>
      </c>
      <c r="AD49" s="1785">
        <v>34555</v>
      </c>
      <c r="AE49" s="1787">
        <v>23339</v>
      </c>
      <c r="AF49" s="1785">
        <v>18338</v>
      </c>
      <c r="AG49" s="1786">
        <v>0</v>
      </c>
      <c r="AH49" s="1785">
        <v>32806</v>
      </c>
      <c r="AI49" s="1787">
        <v>58040</v>
      </c>
      <c r="AJ49" s="1785">
        <v>27314</v>
      </c>
      <c r="AK49" s="1786">
        <v>30054</v>
      </c>
      <c r="AL49" s="1787">
        <v>25033</v>
      </c>
      <c r="AM49" s="1787">
        <v>12639</v>
      </c>
      <c r="AN49" s="1785">
        <v>23461</v>
      </c>
      <c r="AO49" s="1786">
        <v>34352</v>
      </c>
      <c r="AP49" s="1788">
        <v>31944</v>
      </c>
      <c r="AQ49" s="1788">
        <v>42952</v>
      </c>
      <c r="AR49" s="1788">
        <v>39210</v>
      </c>
      <c r="AS49" s="1788">
        <v>62549</v>
      </c>
      <c r="AT49" s="1789">
        <v>57382</v>
      </c>
      <c r="AU49" s="1790">
        <v>48897</v>
      </c>
      <c r="AV49" s="1790">
        <v>38533</v>
      </c>
      <c r="AW49" s="1791">
        <v>42750</v>
      </c>
      <c r="AX49" s="1687"/>
      <c r="AY49" s="1709">
        <v>145444</v>
      </c>
      <c r="AZ49" s="1709">
        <v>155942</v>
      </c>
      <c r="BA49" s="1797">
        <v>-10498</v>
      </c>
      <c r="BB49" s="1618">
        <v>-6.7319900988829173E-2</v>
      </c>
      <c r="BC49" s="1635"/>
      <c r="BD49" s="1793">
        <v>145444</v>
      </c>
      <c r="BE49" s="1817">
        <v>155942</v>
      </c>
      <c r="BF49" s="1817">
        <v>212307</v>
      </c>
      <c r="BG49" s="1817">
        <v>158054</v>
      </c>
      <c r="BH49" s="1817">
        <v>51193</v>
      </c>
      <c r="BI49" s="1817">
        <v>92677</v>
      </c>
      <c r="BJ49" s="1817">
        <f>+BJ14</f>
        <v>82454</v>
      </c>
      <c r="BK49" s="1817">
        <f>+BK14</f>
        <v>72926</v>
      </c>
      <c r="BL49" s="1817">
        <f>+BL14</f>
        <v>118332</v>
      </c>
      <c r="BM49" s="1794">
        <v>187562</v>
      </c>
      <c r="BN49" s="1753">
        <v>150470</v>
      </c>
      <c r="BO49" s="1753">
        <f>BO14</f>
        <v>95559</v>
      </c>
      <c r="BP49" s="1753">
        <v>211758</v>
      </c>
      <c r="BQ49" s="1975"/>
      <c r="BR49" s="1973"/>
      <c r="BS49" s="1560"/>
      <c r="BT49" s="1560"/>
      <c r="BU49" s="1560"/>
      <c r="BV49" s="1560"/>
    </row>
    <row r="50" spans="1:74" s="1955" customFormat="1" ht="12.75" customHeight="1" x14ac:dyDescent="0.2">
      <c r="A50" s="1635"/>
      <c r="B50" s="1633" t="s">
        <v>82</v>
      </c>
      <c r="C50" s="1638">
        <v>-12079</v>
      </c>
      <c r="D50" s="1639">
        <v>-0.27936720864074749</v>
      </c>
      <c r="E50" s="1595"/>
      <c r="F50" s="1593">
        <v>0</v>
      </c>
      <c r="G50" s="1593">
        <v>0</v>
      </c>
      <c r="H50" s="1593">
        <v>0</v>
      </c>
      <c r="I50" s="2288">
        <v>31158</v>
      </c>
      <c r="J50" s="1785">
        <v>32147</v>
      </c>
      <c r="K50" s="1785">
        <v>41555</v>
      </c>
      <c r="L50" s="1785">
        <v>37337</v>
      </c>
      <c r="M50" s="1786">
        <v>43237</v>
      </c>
      <c r="N50" s="1785">
        <v>44553</v>
      </c>
      <c r="O50" s="1785">
        <v>38098</v>
      </c>
      <c r="P50" s="1785">
        <v>40920</v>
      </c>
      <c r="Q50" s="1786">
        <v>40245</v>
      </c>
      <c r="R50" s="1785">
        <v>50989</v>
      </c>
      <c r="S50" s="1785">
        <v>50915</v>
      </c>
      <c r="T50" s="1785">
        <v>41253</v>
      </c>
      <c r="U50" s="1786"/>
      <c r="V50" s="1785"/>
      <c r="W50" s="1785"/>
      <c r="X50" s="1785"/>
      <c r="Y50" s="1786"/>
      <c r="Z50" s="1785"/>
      <c r="AA50" s="1785"/>
      <c r="AB50" s="1785"/>
      <c r="AC50" s="1786"/>
      <c r="AD50" s="1785"/>
      <c r="AE50" s="1785"/>
      <c r="AF50" s="1785"/>
      <c r="AG50" s="1786"/>
      <c r="AH50" s="1785"/>
      <c r="AI50" s="1785"/>
      <c r="AJ50" s="1785"/>
      <c r="AK50" s="1786"/>
      <c r="AL50" s="1785"/>
      <c r="AM50" s="1785"/>
      <c r="AN50" s="1785"/>
      <c r="AO50" s="1786"/>
      <c r="AP50" s="1788"/>
      <c r="AQ50" s="1788"/>
      <c r="AR50" s="1788"/>
      <c r="AS50" s="1788"/>
      <c r="AT50" s="1795"/>
      <c r="AU50" s="1790"/>
      <c r="AV50" s="1790"/>
      <c r="AW50" s="1790"/>
      <c r="AX50" s="1687"/>
      <c r="AY50" s="1796">
        <v>154276</v>
      </c>
      <c r="AZ50" s="1709">
        <v>163816</v>
      </c>
      <c r="BA50" s="1797">
        <v>-9540</v>
      </c>
      <c r="BB50" s="1798">
        <v>-5.8236069736777848E-2</v>
      </c>
      <c r="BC50" s="1635"/>
      <c r="BD50" s="1793">
        <v>154276</v>
      </c>
      <c r="BE50" s="1817">
        <v>163816</v>
      </c>
      <c r="BF50" s="1817">
        <v>178529</v>
      </c>
      <c r="BG50" s="1817">
        <v>165961</v>
      </c>
      <c r="BH50" s="1817">
        <v>64311</v>
      </c>
      <c r="BI50" s="1817">
        <v>78548</v>
      </c>
      <c r="BJ50" s="1817"/>
      <c r="BK50" s="1817"/>
      <c r="BL50" s="1795"/>
      <c r="BM50" s="1799"/>
      <c r="BN50" s="1715"/>
      <c r="BO50" s="1715"/>
      <c r="BP50" s="1715"/>
      <c r="BQ50" s="1976"/>
      <c r="BR50" s="2360"/>
      <c r="BS50" s="1954"/>
      <c r="BT50" s="1954"/>
      <c r="BU50" s="1954"/>
      <c r="BV50" s="1954"/>
    </row>
    <row r="51" spans="1:74" s="1955" customFormat="1" ht="24.75" customHeight="1" x14ac:dyDescent="0.2">
      <c r="A51" s="1635"/>
      <c r="B51" s="1624" t="s">
        <v>179</v>
      </c>
      <c r="C51" s="1638">
        <v>-8636</v>
      </c>
      <c r="D51" s="1640" t="s">
        <v>42</v>
      </c>
      <c r="E51" s="1595"/>
      <c r="F51" s="1209">
        <v>0</v>
      </c>
      <c r="G51" s="1209">
        <v>0</v>
      </c>
      <c r="H51" s="1593">
        <v>0</v>
      </c>
      <c r="I51" s="2288">
        <v>-6640</v>
      </c>
      <c r="J51" s="1322">
        <v>384</v>
      </c>
      <c r="K51" s="1322">
        <v>-12214</v>
      </c>
      <c r="L51" s="1785">
        <v>1002</v>
      </c>
      <c r="M51" s="1786">
        <v>1996</v>
      </c>
      <c r="N51" s="1322">
        <v>-5959</v>
      </c>
      <c r="O51" s="1322">
        <v>-14406</v>
      </c>
      <c r="P51" s="1785">
        <v>7990</v>
      </c>
      <c r="Q51" s="1786">
        <v>4501</v>
      </c>
      <c r="R51" s="1785">
        <v>12186</v>
      </c>
      <c r="S51" s="1785">
        <v>14792</v>
      </c>
      <c r="T51" s="1785">
        <v>1683</v>
      </c>
      <c r="U51" s="1786">
        <v>40489</v>
      </c>
      <c r="V51" s="1322">
        <v>45552</v>
      </c>
      <c r="W51" s="1322">
        <v>44248</v>
      </c>
      <c r="X51" s="1322">
        <v>39034</v>
      </c>
      <c r="Y51" s="1296">
        <v>29220</v>
      </c>
      <c r="Z51" s="1322">
        <v>19861</v>
      </c>
      <c r="AA51" s="1322">
        <v>12748</v>
      </c>
      <c r="AB51" s="1322">
        <v>9338</v>
      </c>
      <c r="AC51" s="1296">
        <v>9246</v>
      </c>
      <c r="AD51" s="1322">
        <v>34555</v>
      </c>
      <c r="AE51" s="1322">
        <v>23339</v>
      </c>
      <c r="AF51" s="1322">
        <v>18338</v>
      </c>
      <c r="AG51" s="1296">
        <v>0</v>
      </c>
      <c r="AH51" s="1322">
        <v>32806</v>
      </c>
      <c r="AI51" s="1322">
        <v>58040</v>
      </c>
      <c r="AJ51" s="1322">
        <v>27314</v>
      </c>
      <c r="AK51" s="1296">
        <v>30054</v>
      </c>
      <c r="AL51" s="1322">
        <v>25033</v>
      </c>
      <c r="AM51" s="1322">
        <v>12639</v>
      </c>
      <c r="AN51" s="1322">
        <v>23461</v>
      </c>
      <c r="AO51" s="1296">
        <v>34352</v>
      </c>
      <c r="AP51" s="1322">
        <v>31944</v>
      </c>
      <c r="AQ51" s="1322">
        <v>23235</v>
      </c>
      <c r="AR51" s="1322">
        <v>16089</v>
      </c>
      <c r="AS51" s="1322">
        <v>48674</v>
      </c>
      <c r="AT51" s="1240">
        <v>29246</v>
      </c>
      <c r="AU51" s="1293">
        <v>26110</v>
      </c>
      <c r="AV51" s="1293">
        <v>22330</v>
      </c>
      <c r="AW51" s="1293">
        <v>33584</v>
      </c>
      <c r="AX51" s="1297"/>
      <c r="AY51" s="1248">
        <v>-8832</v>
      </c>
      <c r="AZ51" s="1248">
        <v>-7874</v>
      </c>
      <c r="BA51" s="1797">
        <v>-958</v>
      </c>
      <c r="BB51" s="1640">
        <v>-0.12166624333248667</v>
      </c>
      <c r="BC51" s="1635"/>
      <c r="BD51" s="1493">
        <v>-8832</v>
      </c>
      <c r="BE51" s="1314">
        <v>-7874</v>
      </c>
      <c r="BF51" s="1817">
        <v>33778</v>
      </c>
      <c r="BG51" s="1314">
        <v>-7907</v>
      </c>
      <c r="BH51" s="1314">
        <v>-13118</v>
      </c>
      <c r="BI51" s="1817">
        <v>14129</v>
      </c>
      <c r="BJ51" s="1817">
        <f t="shared" ref="BJ51:BO51" si="6">BJ49-BJ50</f>
        <v>82454</v>
      </c>
      <c r="BK51" s="1817">
        <f t="shared" si="6"/>
        <v>72926</v>
      </c>
      <c r="BL51" s="1800">
        <f t="shared" si="6"/>
        <v>118332</v>
      </c>
      <c r="BM51" s="1801">
        <f t="shared" si="6"/>
        <v>187562</v>
      </c>
      <c r="BN51" s="1802">
        <f t="shared" si="6"/>
        <v>150470</v>
      </c>
      <c r="BO51" s="1802">
        <f t="shared" si="6"/>
        <v>95559</v>
      </c>
      <c r="BP51" s="1802">
        <v>57268</v>
      </c>
      <c r="BQ51" s="1976"/>
      <c r="BR51" s="2360"/>
      <c r="BS51" s="1954"/>
      <c r="BT51" s="1954"/>
      <c r="BU51" s="1954"/>
      <c r="BV51" s="1954"/>
    </row>
    <row r="52" spans="1:74" s="1955" customFormat="1" ht="24.75" customHeight="1" x14ac:dyDescent="0.2">
      <c r="A52" s="1635"/>
      <c r="B52" s="1624" t="s">
        <v>353</v>
      </c>
      <c r="C52" s="1641">
        <v>-8913</v>
      </c>
      <c r="D52" s="1642" t="s">
        <v>42</v>
      </c>
      <c r="E52" s="1595"/>
      <c r="F52" s="1224">
        <v>0</v>
      </c>
      <c r="G52" s="1224">
        <v>0</v>
      </c>
      <c r="H52" s="2338">
        <v>0</v>
      </c>
      <c r="I52" s="2316">
        <v>-7370</v>
      </c>
      <c r="J52" s="1378">
        <v>-329</v>
      </c>
      <c r="K52" s="1378">
        <v>-12642</v>
      </c>
      <c r="L52" s="1803">
        <v>584</v>
      </c>
      <c r="M52" s="1804">
        <v>1543</v>
      </c>
      <c r="N52" s="1378">
        <v>-5815</v>
      </c>
      <c r="O52" s="1378">
        <v>-14368</v>
      </c>
      <c r="P52" s="1803">
        <v>8195</v>
      </c>
      <c r="Q52" s="1804">
        <v>4716</v>
      </c>
      <c r="R52" s="1803">
        <v>13720</v>
      </c>
      <c r="S52" s="1803">
        <v>16068</v>
      </c>
      <c r="T52" s="1803">
        <v>2523</v>
      </c>
      <c r="U52" s="1804">
        <v>41072</v>
      </c>
      <c r="V52" s="1378">
        <v>47321</v>
      </c>
      <c r="W52" s="1378">
        <v>45991</v>
      </c>
      <c r="X52" s="1378">
        <v>41048</v>
      </c>
      <c r="Y52" s="1532">
        <v>30430</v>
      </c>
      <c r="Z52" s="1378">
        <v>19861</v>
      </c>
      <c r="AA52" s="1378">
        <v>12748</v>
      </c>
      <c r="AB52" s="1378">
        <v>9338</v>
      </c>
      <c r="AC52" s="1532">
        <v>9246</v>
      </c>
      <c r="AD52" s="1378">
        <v>34555</v>
      </c>
      <c r="AE52" s="1378"/>
      <c r="AF52" s="1378"/>
      <c r="AG52" s="1532"/>
      <c r="AH52" s="1378"/>
      <c r="AI52" s="1378"/>
      <c r="AJ52" s="1378"/>
      <c r="AK52" s="1532"/>
      <c r="AL52" s="1378"/>
      <c r="AM52" s="1378"/>
      <c r="AN52" s="1378"/>
      <c r="AO52" s="1532"/>
      <c r="AP52" s="1378"/>
      <c r="AQ52" s="1378"/>
      <c r="AR52" s="1378"/>
      <c r="AS52" s="1378"/>
      <c r="AT52" s="1381"/>
      <c r="AU52" s="1301"/>
      <c r="AV52" s="1301"/>
      <c r="AW52" s="1301"/>
      <c r="AX52" s="1297"/>
      <c r="AY52" s="1378">
        <v>-10844</v>
      </c>
      <c r="AZ52" s="1378">
        <v>-7272</v>
      </c>
      <c r="BA52" s="1806">
        <v>-3572</v>
      </c>
      <c r="BB52" s="1642">
        <v>-0.49119911991199122</v>
      </c>
      <c r="BC52" s="1635"/>
      <c r="BD52" s="1328">
        <v>-10844</v>
      </c>
      <c r="BE52" s="1328">
        <v>-7272</v>
      </c>
      <c r="BF52" s="1828">
        <v>38011</v>
      </c>
      <c r="BG52" s="1328">
        <v>-1171</v>
      </c>
      <c r="BH52" s="1328">
        <v>-13118</v>
      </c>
      <c r="BI52" s="1828">
        <v>14129</v>
      </c>
      <c r="BJ52" s="1828">
        <f>+BJ51-BJ32</f>
        <v>82454</v>
      </c>
      <c r="BK52" s="1828">
        <f>+BK51-BK32</f>
        <v>72926</v>
      </c>
      <c r="BL52" s="1788"/>
      <c r="BM52" s="1788"/>
      <c r="BN52" s="1627"/>
      <c r="BO52" s="1627"/>
      <c r="BP52" s="1627"/>
      <c r="BQ52" s="1977"/>
      <c r="BR52" s="2360"/>
      <c r="BS52" s="1954"/>
      <c r="BT52" s="1954"/>
      <c r="BU52" s="1954"/>
      <c r="BV52" s="1954"/>
    </row>
    <row r="53" spans="1:74" s="1955" customFormat="1" ht="12.75" customHeight="1" x14ac:dyDescent="0.2">
      <c r="A53" s="1635"/>
      <c r="B53" s="1633"/>
      <c r="C53" s="1643"/>
      <c r="D53" s="1644"/>
      <c r="E53" s="1592"/>
      <c r="F53" s="1564"/>
      <c r="G53" s="1564"/>
      <c r="H53" s="1564"/>
      <c r="I53" s="1573"/>
      <c r="J53" s="1608"/>
      <c r="K53" s="1608"/>
      <c r="L53" s="1608"/>
      <c r="M53" s="1633"/>
      <c r="N53" s="1644"/>
      <c r="O53" s="1608"/>
      <c r="P53" s="1608"/>
      <c r="Q53" s="1633"/>
      <c r="R53" s="1644"/>
      <c r="S53" s="1608"/>
      <c r="T53" s="1608"/>
      <c r="U53" s="1633"/>
      <c r="V53" s="1644"/>
      <c r="W53" s="1644"/>
      <c r="X53" s="1608"/>
      <c r="Y53" s="1633"/>
      <c r="Z53" s="1644"/>
      <c r="AA53" s="1644"/>
      <c r="AB53" s="1608"/>
      <c r="AC53" s="1633"/>
      <c r="AD53" s="1644"/>
      <c r="AE53" s="1644"/>
      <c r="AF53" s="1644"/>
      <c r="AG53" s="1633"/>
      <c r="AH53" s="1644"/>
      <c r="AI53" s="1644"/>
      <c r="AJ53" s="1644"/>
      <c r="AK53" s="1633"/>
      <c r="AL53" s="1644"/>
      <c r="AM53" s="1644"/>
      <c r="AN53" s="1644"/>
      <c r="AO53" s="1633"/>
      <c r="AP53" s="1635"/>
      <c r="AQ53" s="1635"/>
      <c r="AR53" s="1635"/>
      <c r="AS53" s="1635"/>
      <c r="AT53" s="1635"/>
      <c r="AU53" s="1635"/>
      <c r="AV53" s="1635"/>
      <c r="AW53" s="1635"/>
      <c r="AX53" s="1633"/>
      <c r="AY53" s="1644"/>
      <c r="AZ53" s="1644"/>
      <c r="BA53" s="1808"/>
      <c r="BB53" s="1809"/>
      <c r="BC53" s="1633"/>
      <c r="BD53" s="1608"/>
      <c r="BE53" s="1608"/>
      <c r="BF53" s="1608"/>
      <c r="BG53" s="1608"/>
      <c r="BH53" s="1608"/>
      <c r="BI53" s="1608"/>
      <c r="BJ53" s="1608"/>
      <c r="BK53" s="1608"/>
      <c r="BL53" s="1622"/>
      <c r="BM53" s="1622"/>
      <c r="BN53" s="1627"/>
      <c r="BO53" s="1627"/>
      <c r="BP53" s="1627"/>
      <c r="BQ53" s="1977"/>
      <c r="BR53" s="2360"/>
      <c r="BS53" s="1954"/>
      <c r="BT53" s="1954"/>
      <c r="BU53" s="1954"/>
      <c r="BV53" s="1954"/>
    </row>
    <row r="54" spans="1:74" ht="12.75" customHeight="1" x14ac:dyDescent="0.2">
      <c r="A54" s="1635"/>
      <c r="B54" s="1630" t="s">
        <v>77</v>
      </c>
      <c r="C54" s="1629">
        <v>15.012760595501396</v>
      </c>
      <c r="D54" s="1644"/>
      <c r="E54" s="1592"/>
      <c r="F54" s="1592" t="e">
        <v>#DIV/0!</v>
      </c>
      <c r="G54" s="1592" t="e">
        <v>#DIV/0!</v>
      </c>
      <c r="H54" s="1592" t="e">
        <v>#DIV/0!</v>
      </c>
      <c r="I54" s="1592">
        <v>0.45313647116404276</v>
      </c>
      <c r="J54" s="1644">
        <v>0.39845070855491682</v>
      </c>
      <c r="K54" s="1644">
        <v>0.45727821137657204</v>
      </c>
      <c r="L54" s="1644">
        <v>0.36145961031847468</v>
      </c>
      <c r="M54" s="1644">
        <v>0.30300886520902881</v>
      </c>
      <c r="N54" s="1644">
        <v>0.38099186402031404</v>
      </c>
      <c r="O54" s="1644">
        <v>0.68432382238730372</v>
      </c>
      <c r="P54" s="1644">
        <v>0.24647311388264159</v>
      </c>
      <c r="Q54" s="1644">
        <v>0.30371429848478076</v>
      </c>
      <c r="R54" s="1644">
        <v>0.21223585278986942</v>
      </c>
      <c r="S54" s="1644">
        <v>0.19670659138295768</v>
      </c>
      <c r="T54" s="1644">
        <v>0.37497670952114776</v>
      </c>
      <c r="U54" s="1644">
        <v>-0.55042110202771122</v>
      </c>
      <c r="V54" s="1644">
        <v>-0.67935546188970841</v>
      </c>
      <c r="W54" s="1644">
        <v>-0.63074037244621228</v>
      </c>
      <c r="X54" s="1644">
        <v>-0.70912537787569807</v>
      </c>
      <c r="Y54" s="1644">
        <v>-0.77210814510609171</v>
      </c>
      <c r="Z54" s="1644">
        <v>-0.81169125421680677</v>
      </c>
      <c r="AA54" s="1644">
        <v>-0.60260433009099468</v>
      </c>
      <c r="AB54" s="1644">
        <v>-0.8218033840222746</v>
      </c>
      <c r="AC54" s="1644">
        <v>-0.80856586632057104</v>
      </c>
      <c r="AD54" s="1644">
        <v>-0.53555201852119805</v>
      </c>
      <c r="AE54" s="1644">
        <v>-0.61150863361755003</v>
      </c>
      <c r="AF54" s="1644">
        <v>-0.59477587523175923</v>
      </c>
      <c r="AG54" s="1644" t="e">
        <v>#DIV/0!</v>
      </c>
      <c r="AH54" s="1644">
        <v>0.1537803312755944</v>
      </c>
      <c r="AI54" s="1644">
        <v>0.10480982581197477</v>
      </c>
      <c r="AJ54" s="1644">
        <v>0.15381132075471698</v>
      </c>
      <c r="AK54" s="1644">
        <v>0.14983030545018966</v>
      </c>
      <c r="AL54" s="1644" t="e">
        <v>#DIV/0!</v>
      </c>
      <c r="AM54" s="1644" t="e">
        <v>#DIV/0!</v>
      </c>
      <c r="AN54" s="1644" t="e">
        <v>#DIV/0!</v>
      </c>
      <c r="AO54" s="1644" t="e">
        <v>#DIV/0!</v>
      </c>
      <c r="AP54" s="1644" t="e">
        <v>#DIV/0!</v>
      </c>
      <c r="AQ54" s="1773">
        <v>0.22941514650995137</v>
      </c>
      <c r="AR54" s="1773">
        <v>0.30967430476810637</v>
      </c>
      <c r="AS54" s="1773">
        <v>0.16900000000000004</v>
      </c>
      <c r="AT54" s="1773">
        <v>0.21100000000000008</v>
      </c>
      <c r="AU54" s="1773">
        <v>0.20399999999999996</v>
      </c>
      <c r="AV54" s="1773">
        <v>0.249</v>
      </c>
      <c r="AW54" s="1773">
        <v>0.17899999999999994</v>
      </c>
      <c r="AX54" s="1633"/>
      <c r="AY54" s="1644">
        <v>0.37088501416352687</v>
      </c>
      <c r="AZ54" s="1644">
        <v>0.3627117774557207</v>
      </c>
      <c r="BA54" s="1629">
        <v>0.81732367078061752</v>
      </c>
      <c r="BB54" s="1809"/>
      <c r="BC54" s="1633"/>
      <c r="BD54" s="1644">
        <v>0.37088501416352687</v>
      </c>
      <c r="BE54" s="1773">
        <v>0.3627117774557207</v>
      </c>
      <c r="BF54" s="1773">
        <v>0.26150338896032632</v>
      </c>
      <c r="BG54" s="1773">
        <v>0.35978209978867981</v>
      </c>
      <c r="BH54" s="1773">
        <v>0.49534115992420841</v>
      </c>
      <c r="BI54" s="1773">
        <v>0.27604475759897279</v>
      </c>
      <c r="BJ54" s="1773">
        <v>0.13384477827906055</v>
      </c>
      <c r="BK54" s="1773">
        <f>(BK20+BK21+BK22+BK23+BK24+BK25+BK26)/BK14</f>
        <v>0.38502043167046046</v>
      </c>
      <c r="BL54" s="1773">
        <f>(BL20+BL21+BL22+BL23+BL24+BL25+BL26)/BL14</f>
        <v>0.19347260250819728</v>
      </c>
      <c r="BM54" s="1773">
        <f>(BM20+BM21+BM22+BM23+BM24+BM25+BM26)/BM14</f>
        <v>0.13159381964363784</v>
      </c>
      <c r="BN54" s="1631">
        <f>(BN20+BN21+BN22+BN23+BN24+BN25+BN26)/BN14</f>
        <v>0.13831328504020735</v>
      </c>
      <c r="BO54" s="1631">
        <f>(BO20+BO21+BO22+BO23+BO24+BO25+BO26)/BO14</f>
        <v>0.13580091880408962</v>
      </c>
      <c r="BP54" s="1631">
        <v>0.10299999999999998</v>
      </c>
      <c r="BQ54" s="1606"/>
      <c r="BR54" s="1973"/>
      <c r="BS54" s="1560"/>
      <c r="BT54" s="1560"/>
      <c r="BU54" s="1560"/>
      <c r="BV54" s="1560"/>
    </row>
    <row r="55" spans="1:74" ht="12.75" customHeight="1" x14ac:dyDescent="0.2">
      <c r="A55" s="1635"/>
      <c r="B55" s="1630" t="s">
        <v>78</v>
      </c>
      <c r="C55" s="1629">
        <v>31.494851267669375</v>
      </c>
      <c r="D55" s="1644"/>
      <c r="E55" s="1592"/>
      <c r="F55" s="1592" t="e">
        <v>#DIV/0!</v>
      </c>
      <c r="G55" s="1592" t="e">
        <v>#DIV/0!</v>
      </c>
      <c r="H55" s="1592" t="e">
        <v>#DIV/0!</v>
      </c>
      <c r="I55" s="1592">
        <v>1.2708214373113631</v>
      </c>
      <c r="J55" s="1644">
        <v>0.9881958747041284</v>
      </c>
      <c r="K55" s="1644">
        <v>1.4162775638185474</v>
      </c>
      <c r="L55" s="1644">
        <v>0.97386473303946375</v>
      </c>
      <c r="M55" s="1644">
        <v>0.95587292463466933</v>
      </c>
      <c r="N55" s="1644">
        <v>1.1544022386899517</v>
      </c>
      <c r="O55" s="1644">
        <v>1.6080533513422253</v>
      </c>
      <c r="P55" s="1644">
        <v>0.8366387241872828</v>
      </c>
      <c r="Q55" s="1644">
        <v>0.89941000312877128</v>
      </c>
      <c r="R55" s="1644">
        <v>0.80710724178868221</v>
      </c>
      <c r="S55" s="1644">
        <v>0.77487938880180196</v>
      </c>
      <c r="T55" s="1644">
        <v>0.96080212409167132</v>
      </c>
      <c r="U55" s="1644">
        <v>0</v>
      </c>
      <c r="V55" s="1644">
        <v>0</v>
      </c>
      <c r="W55" s="1644">
        <v>0</v>
      </c>
      <c r="X55" s="1644">
        <v>0</v>
      </c>
      <c r="Y55" s="1644">
        <v>0</v>
      </c>
      <c r="Z55" s="1644">
        <v>0</v>
      </c>
      <c r="AA55" s="1644">
        <v>0</v>
      </c>
      <c r="AB55" s="1644">
        <v>0</v>
      </c>
      <c r="AC55" s="1644">
        <v>0</v>
      </c>
      <c r="AD55" s="1644">
        <v>0</v>
      </c>
      <c r="AE55" s="1644">
        <v>0</v>
      </c>
      <c r="AF55" s="1644">
        <v>0</v>
      </c>
      <c r="AG55" s="1644" t="e">
        <v>#DIV/0!</v>
      </c>
      <c r="AH55" s="1644">
        <v>0.69350895422040215</v>
      </c>
      <c r="AI55" s="1644">
        <v>0.66254345965022621</v>
      </c>
      <c r="AJ55" s="1644">
        <v>0.73509433962264148</v>
      </c>
      <c r="AK55" s="1644">
        <v>0.73823783855726355</v>
      </c>
      <c r="AL55" s="1644">
        <v>0</v>
      </c>
      <c r="AM55" s="1644">
        <v>0</v>
      </c>
      <c r="AN55" s="1644">
        <v>0</v>
      </c>
      <c r="AO55" s="1644">
        <v>0</v>
      </c>
      <c r="AP55" s="1644">
        <v>0</v>
      </c>
      <c r="AQ55" s="1773">
        <v>0.78796893678764046</v>
      </c>
      <c r="AR55" s="1773">
        <v>0.81936881813384832</v>
      </c>
      <c r="AS55" s="1773">
        <v>0.68600000000000005</v>
      </c>
      <c r="AT55" s="1773">
        <v>0.77500000000000002</v>
      </c>
      <c r="AU55" s="1773">
        <v>0.74299999999999999</v>
      </c>
      <c r="AV55" s="1773">
        <v>0.76</v>
      </c>
      <c r="AW55" s="1773">
        <v>0.73199999999999998</v>
      </c>
      <c r="AX55" s="1633"/>
      <c r="AY55" s="1644">
        <v>1.0607244025191827</v>
      </c>
      <c r="AZ55" s="1644">
        <v>1.0504931320619204</v>
      </c>
      <c r="BA55" s="1629">
        <v>1.0231270457262243</v>
      </c>
      <c r="BB55" s="1809"/>
      <c r="BC55" s="1633"/>
      <c r="BD55" s="1644">
        <v>1.0607244025191827</v>
      </c>
      <c r="BE55" s="1773">
        <v>1.0504931320619204</v>
      </c>
      <c r="BF55" s="1773">
        <v>0.84090020583400449</v>
      </c>
      <c r="BG55" s="1773">
        <v>1.0500272058916573</v>
      </c>
      <c r="BH55" s="1773">
        <v>1.2562459711288654</v>
      </c>
      <c r="BI55" s="1773">
        <v>0.84754577726944114</v>
      </c>
      <c r="BJ55" s="1773">
        <v>0.69810870025185479</v>
      </c>
      <c r="BK55" s="1773">
        <f>BK50/BK49</f>
        <v>0</v>
      </c>
      <c r="BL55" s="1773">
        <f>BL50/BL49</f>
        <v>0</v>
      </c>
      <c r="BM55" s="1773">
        <f>BM50/BM49</f>
        <v>0</v>
      </c>
      <c r="BN55" s="1630">
        <f>BN50/BN49</f>
        <v>0</v>
      </c>
      <c r="BO55" s="1630">
        <f>BO50/BO49</f>
        <v>0</v>
      </c>
      <c r="BP55" s="1630">
        <v>0.73</v>
      </c>
      <c r="BQ55" s="1603"/>
      <c r="BS55" s="1560"/>
      <c r="BT55" s="1560"/>
      <c r="BU55" s="1560"/>
      <c r="BV55" s="1560"/>
    </row>
    <row r="56" spans="1:74" ht="12.75" customHeight="1" x14ac:dyDescent="0.2">
      <c r="A56" s="1635"/>
      <c r="B56" s="1630" t="s">
        <v>178</v>
      </c>
      <c r="C56" s="1629">
        <v>-31.494851267669372</v>
      </c>
      <c r="D56" s="1644"/>
      <c r="E56" s="1592"/>
      <c r="F56" s="1592" t="e">
        <v>#DIV/0!</v>
      </c>
      <c r="G56" s="1592" t="e">
        <v>#DIV/0!</v>
      </c>
      <c r="H56" s="1592" t="e">
        <v>#DIV/0!</v>
      </c>
      <c r="I56" s="1592">
        <v>-0.2708214373113631</v>
      </c>
      <c r="J56" s="1644">
        <v>1.180412529587163E-2</v>
      </c>
      <c r="K56" s="1644">
        <v>-0.41627756381854741</v>
      </c>
      <c r="L56" s="1644">
        <v>2.6135266960536269E-2</v>
      </c>
      <c r="M56" s="1644">
        <v>4.4127075365330622E-2</v>
      </c>
      <c r="N56" s="1644">
        <v>-0.15440223868995182</v>
      </c>
      <c r="O56" s="1644">
        <v>-0.60805335134222527</v>
      </c>
      <c r="P56" s="1644">
        <v>0.16336127581271723</v>
      </c>
      <c r="Q56" s="1644">
        <v>0.10058999687122872</v>
      </c>
      <c r="R56" s="1644">
        <v>0.19289275821131777</v>
      </c>
      <c r="S56" s="1644">
        <v>0.22512061119819807</v>
      </c>
      <c r="T56" s="1644">
        <v>3.9197875908328676E-2</v>
      </c>
      <c r="U56" s="1644">
        <v>1</v>
      </c>
      <c r="V56" s="1644">
        <v>1</v>
      </c>
      <c r="W56" s="1644">
        <v>1</v>
      </c>
      <c r="X56" s="1644">
        <v>1</v>
      </c>
      <c r="Y56" s="1644">
        <v>1</v>
      </c>
      <c r="Z56" s="1644">
        <v>1</v>
      </c>
      <c r="AA56" s="1644">
        <v>1</v>
      </c>
      <c r="AB56" s="1644">
        <v>1</v>
      </c>
      <c r="AC56" s="1644">
        <v>1</v>
      </c>
      <c r="AD56" s="1644">
        <v>1</v>
      </c>
      <c r="AE56" s="1644">
        <v>1</v>
      </c>
      <c r="AF56" s="1644">
        <v>1</v>
      </c>
      <c r="AG56" s="1644" t="e">
        <v>#DIV/0!</v>
      </c>
      <c r="AH56" s="1644">
        <v>0.30649104577959785</v>
      </c>
      <c r="AI56" s="1644">
        <v>0.33745654034977374</v>
      </c>
      <c r="AJ56" s="1644">
        <v>0.26490566037735847</v>
      </c>
      <c r="AK56" s="1644">
        <v>0.2617621614427364</v>
      </c>
      <c r="AL56" s="1644">
        <v>1</v>
      </c>
      <c r="AM56" s="1644">
        <v>1</v>
      </c>
      <c r="AN56" s="1644">
        <v>1</v>
      </c>
      <c r="AO56" s="1644">
        <v>1</v>
      </c>
      <c r="AP56" s="1644">
        <v>1</v>
      </c>
      <c r="AQ56" s="1773">
        <v>0.21203106321235959</v>
      </c>
      <c r="AR56" s="1773">
        <v>0.18063118186615174</v>
      </c>
      <c r="AS56" s="1773">
        <v>0.31399999999999995</v>
      </c>
      <c r="AT56" s="1773">
        <v>0.22500000000000001</v>
      </c>
      <c r="AU56" s="1773">
        <v>0.25700000000000001</v>
      </c>
      <c r="AV56" s="1773">
        <v>0.24</v>
      </c>
      <c r="AW56" s="1773">
        <v>0.26800000000000002</v>
      </c>
      <c r="AX56" s="1633"/>
      <c r="AY56" s="1644">
        <v>-6.0724402519182638E-2</v>
      </c>
      <c r="AZ56" s="1644">
        <v>-5.0493132061920458E-2</v>
      </c>
      <c r="BA56" s="1629">
        <v>-1.023127045726218</v>
      </c>
      <c r="BB56" s="1809"/>
      <c r="BC56" s="1633"/>
      <c r="BD56" s="1644">
        <v>-6.0724402519182638E-2</v>
      </c>
      <c r="BE56" s="1773">
        <v>-5.0493132061920458E-2</v>
      </c>
      <c r="BF56" s="1773">
        <v>0.15909979416599546</v>
      </c>
      <c r="BG56" s="1773">
        <v>-5.0027205891657281E-2</v>
      </c>
      <c r="BH56" s="1773">
        <v>-0.25624597112886527</v>
      </c>
      <c r="BI56" s="1773">
        <v>0.15245422273055884</v>
      </c>
      <c r="BJ56" s="1773">
        <v>0.30189129974814521</v>
      </c>
      <c r="BK56" s="1773">
        <f>BK51/BK49</f>
        <v>1</v>
      </c>
      <c r="BL56" s="1773">
        <f>BL51/BL49</f>
        <v>1</v>
      </c>
      <c r="BM56" s="1773">
        <f>BM51/BM49</f>
        <v>1</v>
      </c>
      <c r="BN56" s="1630">
        <f>BN51/BN49</f>
        <v>1</v>
      </c>
      <c r="BO56" s="1630">
        <f>BO51/BO49</f>
        <v>1</v>
      </c>
      <c r="BP56" s="1630">
        <v>0.27</v>
      </c>
    </row>
    <row r="57" spans="1:74" ht="12.75" customHeight="1" x14ac:dyDescent="0.2">
      <c r="A57" s="1635"/>
      <c r="B57" s="1630"/>
      <c r="C57" s="1645"/>
      <c r="D57" s="1644"/>
      <c r="E57" s="1592"/>
      <c r="F57" s="1592"/>
      <c r="G57" s="1592"/>
      <c r="H57" s="1592"/>
      <c r="I57" s="1592"/>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773"/>
      <c r="AR57" s="1773"/>
      <c r="AS57" s="1773"/>
      <c r="AT57" s="1773"/>
      <c r="AU57" s="1773"/>
      <c r="AV57" s="1773"/>
      <c r="AW57" s="1773"/>
      <c r="AX57" s="1633"/>
      <c r="AY57" s="1644"/>
      <c r="AZ57" s="1644"/>
      <c r="BA57" s="1629"/>
      <c r="BB57" s="1809"/>
      <c r="BC57" s="1633"/>
      <c r="BD57" s="1773"/>
      <c r="BE57" s="1773"/>
      <c r="BF57" s="1773"/>
      <c r="BG57" s="1773"/>
      <c r="BH57" s="1773"/>
      <c r="BI57" s="1773"/>
      <c r="BJ57" s="1773"/>
      <c r="BK57" s="1773"/>
      <c r="BL57" s="1773"/>
      <c r="BM57" s="1773"/>
      <c r="BN57" s="1630"/>
      <c r="BO57" s="1630"/>
      <c r="BP57" s="1630"/>
    </row>
    <row r="58" spans="1:74" ht="12.75" customHeight="1" x14ac:dyDescent="0.2">
      <c r="A58" s="1646" t="s">
        <v>190</v>
      </c>
      <c r="B58" s="1630"/>
      <c r="C58" s="1633"/>
      <c r="D58" s="1633"/>
      <c r="E58" s="1573"/>
      <c r="F58" s="1573"/>
      <c r="G58" s="1573"/>
      <c r="H58" s="1573"/>
      <c r="I58" s="1573"/>
      <c r="J58" s="1633"/>
      <c r="K58" s="1633"/>
      <c r="L58" s="1633"/>
      <c r="M58" s="1633"/>
      <c r="N58" s="1633"/>
      <c r="O58" s="1633"/>
      <c r="P58" s="1633"/>
      <c r="Q58" s="1633"/>
      <c r="R58" s="1633"/>
      <c r="S58" s="1633"/>
      <c r="T58" s="1633"/>
      <c r="U58" s="1633"/>
      <c r="V58" s="1633"/>
      <c r="W58" s="1633"/>
      <c r="X58" s="1633"/>
      <c r="Y58" s="1633"/>
      <c r="Z58" s="1633"/>
      <c r="AA58" s="1633"/>
      <c r="AB58" s="1633"/>
      <c r="AC58" s="1633"/>
      <c r="AD58" s="1633"/>
      <c r="AE58" s="1633"/>
      <c r="AF58" s="1633"/>
      <c r="AG58" s="1633"/>
      <c r="AH58" s="1633"/>
      <c r="AI58" s="1633"/>
      <c r="AJ58" s="1633"/>
      <c r="AK58" s="1633"/>
      <c r="AL58" s="1633"/>
      <c r="AM58" s="1633"/>
      <c r="AN58" s="1633"/>
      <c r="AO58" s="1633"/>
      <c r="AP58" s="1633"/>
      <c r="AQ58" s="1633"/>
      <c r="AR58" s="1633"/>
      <c r="AS58" s="1608"/>
      <c r="AT58" s="1633"/>
      <c r="AU58" s="1608"/>
      <c r="AV58" s="1608"/>
      <c r="AW58" s="1633"/>
      <c r="AX58" s="1633"/>
      <c r="AY58" s="1633"/>
      <c r="AZ58" s="1633"/>
      <c r="BA58" s="1688"/>
      <c r="BB58" s="1688"/>
      <c r="BC58" s="1633"/>
      <c r="BD58" s="1633"/>
      <c r="BE58" s="1633"/>
      <c r="BF58" s="1633"/>
      <c r="BG58" s="1633"/>
      <c r="BH58" s="1633"/>
      <c r="BI58" s="1633"/>
      <c r="BJ58" s="1633"/>
      <c r="BK58" s="1633"/>
      <c r="BL58" s="1633"/>
      <c r="BM58" s="1633"/>
      <c r="BN58" s="1627"/>
      <c r="BO58" s="1630"/>
      <c r="BP58" s="1630"/>
    </row>
    <row r="59" spans="1:74" ht="12.75" customHeight="1" x14ac:dyDescent="0.2">
      <c r="C59" s="2486" t="s">
        <v>456</v>
      </c>
      <c r="D59" s="2487"/>
      <c r="E59" s="1572"/>
      <c r="F59" s="1878"/>
      <c r="G59" s="1878"/>
      <c r="H59" s="1878"/>
      <c r="I59" s="2348"/>
      <c r="J59" s="1888"/>
      <c r="K59" s="1888"/>
      <c r="L59" s="1888"/>
      <c r="M59" s="1889"/>
      <c r="N59" s="1888"/>
      <c r="O59" s="1888"/>
      <c r="P59" s="1888"/>
      <c r="Q59" s="1889"/>
      <c r="R59" s="1888"/>
      <c r="S59" s="1888"/>
      <c r="T59" s="1888"/>
      <c r="U59" s="1889"/>
      <c r="V59" s="1888"/>
      <c r="W59" s="1888"/>
      <c r="X59" s="1888"/>
      <c r="Y59" s="1889"/>
      <c r="Z59" s="1888"/>
      <c r="AA59" s="1888"/>
      <c r="AB59" s="1888"/>
      <c r="AC59" s="1888"/>
      <c r="AD59" s="1782"/>
      <c r="AE59" s="1888"/>
      <c r="AF59" s="1888"/>
      <c r="AG59" s="1888"/>
      <c r="AH59" s="1782"/>
      <c r="AI59" s="1888"/>
      <c r="AJ59" s="1888"/>
      <c r="AK59" s="1888"/>
      <c r="AL59" s="1782"/>
      <c r="AM59" s="1888"/>
      <c r="AN59" s="1889"/>
      <c r="AO59" s="1889"/>
      <c r="AP59" s="1889"/>
      <c r="AQ59" s="1633"/>
      <c r="AR59" s="1633"/>
      <c r="AS59" s="1608"/>
      <c r="AT59" s="1633"/>
      <c r="AU59" s="1608"/>
      <c r="AV59" s="1608"/>
      <c r="AW59" s="1633"/>
      <c r="AX59" s="1687"/>
      <c r="AY59" s="1006" t="s">
        <v>448</v>
      </c>
      <c r="AZ59" s="1006"/>
      <c r="BA59" s="1006" t="s">
        <v>441</v>
      </c>
      <c r="BB59" s="1007"/>
      <c r="BC59" s="1633"/>
      <c r="BD59" s="1663"/>
      <c r="BE59" s="1663"/>
      <c r="BF59" s="1663"/>
      <c r="BG59" s="1663"/>
      <c r="BH59" s="1663"/>
      <c r="BI59" s="1663"/>
      <c r="BJ59" s="1663"/>
      <c r="BK59" s="1663"/>
      <c r="BL59" s="1782"/>
      <c r="BM59" s="1783"/>
      <c r="BN59" s="1663"/>
      <c r="BO59" s="1630"/>
      <c r="BP59" s="1630"/>
      <c r="BQ59" s="1666"/>
    </row>
    <row r="60" spans="1:74" ht="12.75" customHeight="1" x14ac:dyDescent="0.2">
      <c r="C60" s="2488" t="s">
        <v>39</v>
      </c>
      <c r="D60" s="2489"/>
      <c r="E60" s="1572"/>
      <c r="F60" s="925" t="s">
        <v>452</v>
      </c>
      <c r="G60" s="925" t="s">
        <v>453</v>
      </c>
      <c r="H60" s="925" t="s">
        <v>454</v>
      </c>
      <c r="I60" s="2281" t="s">
        <v>455</v>
      </c>
      <c r="J60" s="1010" t="s">
        <v>399</v>
      </c>
      <c r="K60" s="1010" t="s">
        <v>398</v>
      </c>
      <c r="L60" s="1010" t="s">
        <v>397</v>
      </c>
      <c r="M60" s="1011" t="s">
        <v>395</v>
      </c>
      <c r="N60" s="1010" t="s">
        <v>373</v>
      </c>
      <c r="O60" s="1010" t="s">
        <v>374</v>
      </c>
      <c r="P60" s="1010" t="s">
        <v>375</v>
      </c>
      <c r="Q60" s="1011" t="s">
        <v>376</v>
      </c>
      <c r="R60" s="1667" t="s">
        <v>330</v>
      </c>
      <c r="S60" s="1667" t="s">
        <v>329</v>
      </c>
      <c r="T60" s="1667" t="s">
        <v>328</v>
      </c>
      <c r="U60" s="1668" t="s">
        <v>326</v>
      </c>
      <c r="V60" s="1667" t="s">
        <v>282</v>
      </c>
      <c r="W60" s="1667" t="s">
        <v>283</v>
      </c>
      <c r="X60" s="1667" t="s">
        <v>284</v>
      </c>
      <c r="Y60" s="1668" t="s">
        <v>285</v>
      </c>
      <c r="Z60" s="1667" t="s">
        <v>220</v>
      </c>
      <c r="AA60" s="1667" t="s">
        <v>221</v>
      </c>
      <c r="AB60" s="1667" t="s">
        <v>222</v>
      </c>
      <c r="AC60" s="1668" t="s">
        <v>219</v>
      </c>
      <c r="AD60" s="1669" t="s">
        <v>185</v>
      </c>
      <c r="AE60" s="1667" t="s">
        <v>186</v>
      </c>
      <c r="AF60" s="1667" t="s">
        <v>187</v>
      </c>
      <c r="AG60" s="1667" t="s">
        <v>188</v>
      </c>
      <c r="AH60" s="1669" t="s">
        <v>118</v>
      </c>
      <c r="AI60" s="1667" t="s">
        <v>117</v>
      </c>
      <c r="AJ60" s="1667" t="s">
        <v>116</v>
      </c>
      <c r="AK60" s="1667" t="s">
        <v>115</v>
      </c>
      <c r="AL60" s="1669" t="s">
        <v>83</v>
      </c>
      <c r="AM60" s="1667" t="s">
        <v>84</v>
      </c>
      <c r="AN60" s="1668" t="s">
        <v>85</v>
      </c>
      <c r="AO60" s="1668" t="s">
        <v>30</v>
      </c>
      <c r="AP60" s="1668" t="s">
        <v>30</v>
      </c>
      <c r="AQ60" s="1633"/>
      <c r="AR60" s="1633"/>
      <c r="AS60" s="1608"/>
      <c r="AT60" s="1633"/>
      <c r="AU60" s="1608"/>
      <c r="AV60" s="1608"/>
      <c r="AW60" s="1633"/>
      <c r="AX60" s="1687"/>
      <c r="AY60" s="1010" t="s">
        <v>399</v>
      </c>
      <c r="AZ60" s="1010" t="s">
        <v>373</v>
      </c>
      <c r="BA60" s="2485" t="s">
        <v>39</v>
      </c>
      <c r="BB60" s="2458"/>
      <c r="BC60" s="1633"/>
      <c r="BD60" s="1012" t="s">
        <v>438</v>
      </c>
      <c r="BE60" s="1012" t="s">
        <v>385</v>
      </c>
      <c r="BF60" s="1012" t="s">
        <v>332</v>
      </c>
      <c r="BG60" s="1669" t="s">
        <v>287</v>
      </c>
      <c r="BH60" s="1669" t="s">
        <v>224</v>
      </c>
      <c r="BI60" s="1669" t="s">
        <v>120</v>
      </c>
      <c r="BJ60" s="1669" t="s">
        <v>119</v>
      </c>
      <c r="BK60" s="1669" t="s">
        <v>43</v>
      </c>
      <c r="BL60" s="1669" t="s">
        <v>40</v>
      </c>
      <c r="BM60" s="1672" t="s">
        <v>41</v>
      </c>
      <c r="BN60" s="1672" t="s">
        <v>138</v>
      </c>
      <c r="BO60" s="1630"/>
      <c r="BP60" s="1630"/>
      <c r="BQ60" s="1666"/>
    </row>
    <row r="61" spans="1:74" ht="12.75" customHeight="1" x14ac:dyDescent="0.2">
      <c r="A61" s="1635"/>
      <c r="B61" s="969" t="s">
        <v>413</v>
      </c>
      <c r="C61" s="1638">
        <v>450</v>
      </c>
      <c r="D61" s="1639">
        <v>6.1399918133442491E-2</v>
      </c>
      <c r="E61" s="1572"/>
      <c r="F61" s="1593"/>
      <c r="G61" s="1209"/>
      <c r="H61" s="1209"/>
      <c r="I61" s="2287">
        <v>7779</v>
      </c>
      <c r="J61" s="1785">
        <v>8471</v>
      </c>
      <c r="K61" s="1322">
        <v>7647</v>
      </c>
      <c r="L61" s="1322">
        <v>7195</v>
      </c>
      <c r="M61" s="1293">
        <v>7329</v>
      </c>
      <c r="N61" s="1785">
        <v>8538</v>
      </c>
      <c r="O61" s="1322">
        <v>7870</v>
      </c>
      <c r="P61" s="1322">
        <v>7521</v>
      </c>
      <c r="Q61" s="1293">
        <v>8179</v>
      </c>
      <c r="R61" s="1785">
        <v>10926</v>
      </c>
      <c r="S61" s="1322">
        <v>7462</v>
      </c>
      <c r="T61" s="1322">
        <v>7967</v>
      </c>
      <c r="U61" s="1293">
        <v>8713</v>
      </c>
      <c r="V61" s="1322">
        <v>10030</v>
      </c>
      <c r="W61" s="1322">
        <v>8339</v>
      </c>
      <c r="X61" s="1322">
        <v>7811</v>
      </c>
      <c r="Y61" s="1293">
        <v>9378</v>
      </c>
      <c r="Z61" s="1322">
        <v>4038</v>
      </c>
      <c r="AA61" s="1322">
        <v>2712</v>
      </c>
      <c r="AB61" s="1322">
        <v>3186</v>
      </c>
      <c r="AC61" s="1322">
        <v>3355</v>
      </c>
      <c r="AD61" s="1240">
        <v>4877</v>
      </c>
      <c r="AE61" s="1322">
        <v>4800</v>
      </c>
      <c r="AF61" s="1322">
        <v>4288</v>
      </c>
      <c r="AG61" s="1322">
        <v>6975</v>
      </c>
      <c r="AH61" s="1240">
        <v>8215</v>
      </c>
      <c r="AI61" s="1322">
        <v>9418</v>
      </c>
      <c r="AJ61" s="1322">
        <v>9547</v>
      </c>
      <c r="AK61" s="1322">
        <v>8802</v>
      </c>
      <c r="AL61" s="1550">
        <v>7648</v>
      </c>
      <c r="AM61" s="1529">
        <v>7035</v>
      </c>
      <c r="AN61" s="1978">
        <v>8214</v>
      </c>
      <c r="AO61" s="1293">
        <v>8390</v>
      </c>
      <c r="AP61" s="1296">
        <v>29584</v>
      </c>
      <c r="AQ61" s="1294"/>
      <c r="AR61" s="1294"/>
      <c r="AS61" s="1322"/>
      <c r="AT61" s="1294"/>
      <c r="AU61" s="1322"/>
      <c r="AV61" s="1322"/>
      <c r="AW61" s="1294"/>
      <c r="AX61" s="1297"/>
      <c r="AY61" s="1248">
        <v>30642</v>
      </c>
      <c r="AZ61" s="1248">
        <v>32108</v>
      </c>
      <c r="BA61" s="1797">
        <v>-1466</v>
      </c>
      <c r="BB61" s="1798">
        <v>-4.565840289024542E-2</v>
      </c>
      <c r="BC61" s="1633"/>
      <c r="BD61" s="2250">
        <v>30642</v>
      </c>
      <c r="BE61" s="1297">
        <v>32108</v>
      </c>
      <c r="BF61" s="1297">
        <v>35068</v>
      </c>
      <c r="BG61" s="1297">
        <v>35558</v>
      </c>
      <c r="BH61" s="1297">
        <v>13291</v>
      </c>
      <c r="BI61" s="1934">
        <v>17589</v>
      </c>
      <c r="BJ61" s="1314">
        <v>11461</v>
      </c>
      <c r="BK61" s="1314">
        <v>10891</v>
      </c>
      <c r="BL61" s="1054">
        <v>14557</v>
      </c>
      <c r="BM61" s="1794">
        <v>45773</v>
      </c>
      <c r="BN61" s="1753">
        <v>41570</v>
      </c>
      <c r="BO61" s="1630"/>
      <c r="BP61" s="1630"/>
      <c r="BQ61" s="1666"/>
    </row>
    <row r="62" spans="1:74" ht="12.75" customHeight="1" x14ac:dyDescent="0.2">
      <c r="A62" s="1635"/>
      <c r="B62" s="969" t="s">
        <v>62</v>
      </c>
      <c r="C62" s="1638">
        <v>-15009</v>
      </c>
      <c r="D62" s="1640">
        <v>-0.76992920898738071</v>
      </c>
      <c r="E62" s="1572"/>
      <c r="F62" s="1593"/>
      <c r="G62" s="1209"/>
      <c r="H62" s="1209"/>
      <c r="I62" s="2287">
        <v>4485</v>
      </c>
      <c r="J62" s="1785">
        <v>1959</v>
      </c>
      <c r="K62" s="1322">
        <v>3493</v>
      </c>
      <c r="L62" s="1322">
        <v>9726</v>
      </c>
      <c r="M62" s="1293">
        <v>19494</v>
      </c>
      <c r="N62" s="1785">
        <v>8756</v>
      </c>
      <c r="O62" s="1322">
        <v>6761</v>
      </c>
      <c r="P62" s="1322">
        <v>9010</v>
      </c>
      <c r="Q62" s="1293">
        <v>20059</v>
      </c>
      <c r="R62" s="1785">
        <v>22207</v>
      </c>
      <c r="S62" s="1322">
        <v>22859</v>
      </c>
      <c r="T62" s="1322">
        <v>10441</v>
      </c>
      <c r="U62" s="1293">
        <v>4658</v>
      </c>
      <c r="V62" s="1322">
        <v>7150</v>
      </c>
      <c r="W62" s="1322">
        <v>12430</v>
      </c>
      <c r="X62" s="1322">
        <v>10921</v>
      </c>
      <c r="Y62" s="1293">
        <v>2922</v>
      </c>
      <c r="Z62" s="1322">
        <v>6834</v>
      </c>
      <c r="AA62" s="1322">
        <v>3072</v>
      </c>
      <c r="AB62" s="1322">
        <v>750</v>
      </c>
      <c r="AC62" s="1322">
        <v>2299</v>
      </c>
      <c r="AD62" s="1240">
        <v>16817</v>
      </c>
      <c r="AE62" s="1322">
        <v>9429</v>
      </c>
      <c r="AF62" s="1322">
        <v>3477</v>
      </c>
      <c r="AG62" s="1322">
        <v>31749</v>
      </c>
      <c r="AH62" s="1240">
        <v>23306</v>
      </c>
      <c r="AI62" s="1322">
        <v>46294</v>
      </c>
      <c r="AJ62" s="1322">
        <v>16811</v>
      </c>
      <c r="AK62" s="1322">
        <v>19402</v>
      </c>
      <c r="AL62" s="1550">
        <v>15250</v>
      </c>
      <c r="AM62" s="1322">
        <v>4569</v>
      </c>
      <c r="AN62" s="1293">
        <v>12638</v>
      </c>
      <c r="AO62" s="1293">
        <v>17564</v>
      </c>
      <c r="AP62" s="1296">
        <v>0</v>
      </c>
      <c r="AQ62" s="1294">
        <v>0</v>
      </c>
      <c r="AR62" s="1294">
        <v>0</v>
      </c>
      <c r="AS62" s="1322">
        <v>0</v>
      </c>
      <c r="AT62" s="1294">
        <v>0</v>
      </c>
      <c r="AU62" s="1322">
        <v>0</v>
      </c>
      <c r="AV62" s="1322">
        <v>0</v>
      </c>
      <c r="AW62" s="1294">
        <v>0</v>
      </c>
      <c r="AX62" s="1297"/>
      <c r="AY62" s="1248">
        <v>34672</v>
      </c>
      <c r="AZ62" s="1248">
        <v>44586</v>
      </c>
      <c r="BA62" s="1797">
        <v>-9914</v>
      </c>
      <c r="BB62" s="1618">
        <v>-0.22235679361234467</v>
      </c>
      <c r="BC62" s="1633"/>
      <c r="BD62" s="1793">
        <v>34672</v>
      </c>
      <c r="BE62" s="1297">
        <v>44586</v>
      </c>
      <c r="BF62" s="1297">
        <v>60165</v>
      </c>
      <c r="BG62" s="1297">
        <v>33423</v>
      </c>
      <c r="BH62" s="1297">
        <v>12955</v>
      </c>
      <c r="BI62" s="1935">
        <v>34572</v>
      </c>
      <c r="BJ62" s="1314">
        <v>35794</v>
      </c>
      <c r="BK62" s="1314">
        <v>26736</v>
      </c>
      <c r="BL62" s="1054">
        <v>80789</v>
      </c>
      <c r="BM62" s="1799">
        <f>143025-1549-12713</f>
        <v>128763</v>
      </c>
      <c r="BN62" s="1715">
        <f>109202-5303-4636</f>
        <v>99263</v>
      </c>
      <c r="BO62" s="1630"/>
      <c r="BP62" s="1630"/>
      <c r="BQ62" s="1666"/>
    </row>
    <row r="63" spans="1:74" ht="12.75" customHeight="1" x14ac:dyDescent="0.2">
      <c r="A63" s="1635"/>
      <c r="B63" s="969" t="s">
        <v>203</v>
      </c>
      <c r="C63" s="1638">
        <v>-8006</v>
      </c>
      <c r="D63" s="1640">
        <v>-0.58010289109484825</v>
      </c>
      <c r="E63" s="1572"/>
      <c r="F63" s="1593"/>
      <c r="G63" s="1209"/>
      <c r="H63" s="1209"/>
      <c r="I63" s="2287">
        <v>5795</v>
      </c>
      <c r="J63" s="1785">
        <v>19226</v>
      </c>
      <c r="K63" s="1322">
        <v>11699</v>
      </c>
      <c r="L63" s="1322">
        <v>17944</v>
      </c>
      <c r="M63" s="1293">
        <v>13801</v>
      </c>
      <c r="N63" s="1785">
        <v>16437</v>
      </c>
      <c r="O63" s="1322">
        <v>8505</v>
      </c>
      <c r="P63" s="1322">
        <v>25922</v>
      </c>
      <c r="Q63" s="1293">
        <v>10615</v>
      </c>
      <c r="R63" s="1785">
        <v>21582</v>
      </c>
      <c r="S63" s="1322">
        <v>28106</v>
      </c>
      <c r="T63" s="1322">
        <v>16884</v>
      </c>
      <c r="U63" s="1293">
        <v>21653</v>
      </c>
      <c r="V63" s="1322">
        <v>19658</v>
      </c>
      <c r="W63" s="1322">
        <v>16995</v>
      </c>
      <c r="X63" s="1322">
        <v>13802</v>
      </c>
      <c r="Y63" s="1293">
        <v>14616</v>
      </c>
      <c r="Z63" s="1322">
        <v>5533</v>
      </c>
      <c r="AA63" s="1322">
        <v>4356</v>
      </c>
      <c r="AB63" s="1322">
        <v>3235</v>
      </c>
      <c r="AC63" s="1322">
        <v>1470</v>
      </c>
      <c r="AD63" s="1240">
        <v>2671</v>
      </c>
      <c r="AE63" s="1322">
        <v>2437</v>
      </c>
      <c r="AF63" s="1322">
        <v>4055</v>
      </c>
      <c r="AG63" s="1322">
        <v>14504</v>
      </c>
      <c r="AH63" s="1240">
        <v>1297</v>
      </c>
      <c r="AI63" s="1322">
        <v>1601</v>
      </c>
      <c r="AJ63" s="1322">
        <v>1211</v>
      </c>
      <c r="AK63" s="1322">
        <v>1444</v>
      </c>
      <c r="AL63" s="1550">
        <v>2473</v>
      </c>
      <c r="AM63" s="1322">
        <v>1215</v>
      </c>
      <c r="AN63" s="1293">
        <v>2659</v>
      </c>
      <c r="AO63" s="1293">
        <v>8562</v>
      </c>
      <c r="AP63" s="1296"/>
      <c r="AQ63" s="1294"/>
      <c r="AR63" s="1294"/>
      <c r="AS63" s="1322"/>
      <c r="AT63" s="1294"/>
      <c r="AU63" s="1322"/>
      <c r="AV63" s="1322"/>
      <c r="AW63" s="1294"/>
      <c r="AX63" s="1297"/>
      <c r="AY63" s="1248">
        <v>62670</v>
      </c>
      <c r="AZ63" s="1248">
        <v>61479</v>
      </c>
      <c r="BA63" s="1822">
        <v>1191</v>
      </c>
      <c r="BB63" s="1618">
        <v>1.9372468647830966E-2</v>
      </c>
      <c r="BC63" s="1633"/>
      <c r="BD63" s="1793">
        <v>62670</v>
      </c>
      <c r="BE63" s="1297">
        <v>61479</v>
      </c>
      <c r="BF63" s="1297">
        <v>88225</v>
      </c>
      <c r="BG63" s="1297">
        <v>65071</v>
      </c>
      <c r="BH63" s="1297">
        <v>14594</v>
      </c>
      <c r="BI63" s="1935">
        <v>12248</v>
      </c>
      <c r="BJ63" s="1314">
        <v>11757</v>
      </c>
      <c r="BK63" s="1314">
        <v>21373</v>
      </c>
      <c r="BL63" s="1054">
        <v>11914</v>
      </c>
      <c r="BM63" s="1819">
        <f>7195+5518</f>
        <v>12713</v>
      </c>
      <c r="BN63" s="1715">
        <v>4636</v>
      </c>
      <c r="BO63" s="1630"/>
      <c r="BP63" s="1630"/>
      <c r="BQ63" s="1666"/>
    </row>
    <row r="64" spans="1:74" ht="12.75" customHeight="1" x14ac:dyDescent="0.2">
      <c r="A64" s="1635"/>
      <c r="B64" s="969" t="s">
        <v>63</v>
      </c>
      <c r="C64" s="1638">
        <v>1680</v>
      </c>
      <c r="D64" s="1640">
        <v>0.35851472471190782</v>
      </c>
      <c r="E64" s="1572"/>
      <c r="F64" s="1593"/>
      <c r="G64" s="1209"/>
      <c r="H64" s="1209"/>
      <c r="I64" s="2287">
        <v>6366</v>
      </c>
      <c r="J64" s="1785">
        <v>2477</v>
      </c>
      <c r="K64" s="1322">
        <v>5614</v>
      </c>
      <c r="L64" s="1322">
        <v>3494</v>
      </c>
      <c r="M64" s="1293">
        <v>4686</v>
      </c>
      <c r="N64" s="1785">
        <v>4466</v>
      </c>
      <c r="O64" s="1322">
        <v>424</v>
      </c>
      <c r="P64" s="1322">
        <v>6498</v>
      </c>
      <c r="Q64" s="1293">
        <v>6041</v>
      </c>
      <c r="R64" s="1785">
        <v>8230</v>
      </c>
      <c r="S64" s="1322">
        <v>7593</v>
      </c>
      <c r="T64" s="1322">
        <v>7939</v>
      </c>
      <c r="U64" s="1293">
        <v>5338</v>
      </c>
      <c r="V64" s="1322">
        <v>8936</v>
      </c>
      <c r="W64" s="1322">
        <v>6665</v>
      </c>
      <c r="X64" s="1322">
        <v>6462</v>
      </c>
      <c r="Y64" s="1293">
        <v>2443</v>
      </c>
      <c r="Z64" s="1322">
        <v>3447</v>
      </c>
      <c r="AA64" s="1322">
        <v>2591</v>
      </c>
      <c r="AB64" s="1322">
        <v>2232</v>
      </c>
      <c r="AC64" s="1322">
        <v>2173</v>
      </c>
      <c r="AD64" s="1240">
        <v>10213</v>
      </c>
      <c r="AE64" s="1322">
        <v>6662</v>
      </c>
      <c r="AF64" s="1322">
        <v>6583</v>
      </c>
      <c r="AG64" s="1322">
        <v>-262</v>
      </c>
      <c r="AH64" s="1240">
        <v>-115</v>
      </c>
      <c r="AI64" s="1322">
        <v>-132</v>
      </c>
      <c r="AJ64" s="1322">
        <v>-255</v>
      </c>
      <c r="AK64" s="1322">
        <v>-45</v>
      </c>
      <c r="AL64" s="1550">
        <v>-388</v>
      </c>
      <c r="AM64" s="1322">
        <v>-274</v>
      </c>
      <c r="AN64" s="1293">
        <v>-218</v>
      </c>
      <c r="AO64" s="1293">
        <v>-343</v>
      </c>
      <c r="AP64" s="1296">
        <v>5363</v>
      </c>
      <c r="AQ64" s="1294"/>
      <c r="AR64" s="1294"/>
      <c r="AS64" s="1322"/>
      <c r="AT64" s="1294"/>
      <c r="AU64" s="1322"/>
      <c r="AV64" s="1322"/>
      <c r="AW64" s="1294"/>
      <c r="AX64" s="1297"/>
      <c r="AY64" s="1248">
        <v>16271</v>
      </c>
      <c r="AZ64" s="1248">
        <v>17429</v>
      </c>
      <c r="BA64" s="1822">
        <v>-1158</v>
      </c>
      <c r="BB64" s="1618">
        <v>-6.6440989156004354E-2</v>
      </c>
      <c r="BC64" s="1633"/>
      <c r="BD64" s="1793">
        <v>16271</v>
      </c>
      <c r="BE64" s="1297">
        <v>17429</v>
      </c>
      <c r="BF64" s="1297">
        <v>29100</v>
      </c>
      <c r="BG64" s="1297">
        <v>24506</v>
      </c>
      <c r="BH64" s="1297">
        <v>10443</v>
      </c>
      <c r="BI64" s="1935">
        <v>28332</v>
      </c>
      <c r="BJ64" s="1314">
        <v>23190</v>
      </c>
      <c r="BK64" s="1314">
        <v>9476</v>
      </c>
      <c r="BL64" s="1054">
        <v>4419</v>
      </c>
      <c r="BM64" s="1799">
        <v>-524</v>
      </c>
      <c r="BN64" s="1715">
        <v>4647</v>
      </c>
      <c r="BO64" s="1630"/>
      <c r="BP64" s="1630"/>
      <c r="BQ64" s="1666"/>
    </row>
    <row r="65" spans="1:70" ht="12.75" customHeight="1" x14ac:dyDescent="0.2">
      <c r="A65" s="1635"/>
      <c r="B65" s="969" t="s">
        <v>64</v>
      </c>
      <c r="C65" s="1638">
        <v>-37</v>
      </c>
      <c r="D65" s="1640">
        <v>-0.84090909090909094</v>
      </c>
      <c r="E65" s="1572"/>
      <c r="F65" s="1593"/>
      <c r="G65" s="1209"/>
      <c r="H65" s="1209"/>
      <c r="I65" s="2287">
        <v>-81</v>
      </c>
      <c r="J65" s="1785">
        <v>35</v>
      </c>
      <c r="K65" s="1322">
        <v>-62</v>
      </c>
      <c r="L65" s="1322">
        <v>-58</v>
      </c>
      <c r="M65" s="1293">
        <v>-44</v>
      </c>
      <c r="N65" s="1322">
        <v>-54</v>
      </c>
      <c r="O65" s="1322">
        <v>14</v>
      </c>
      <c r="P65" s="1322">
        <v>-51</v>
      </c>
      <c r="Q65" s="1293">
        <v>9</v>
      </c>
      <c r="R65" s="1785">
        <v>11</v>
      </c>
      <c r="S65" s="1322">
        <v>2</v>
      </c>
      <c r="T65" s="1322">
        <v>-25</v>
      </c>
      <c r="U65" s="1293">
        <v>7</v>
      </c>
      <c r="V65" s="1322">
        <v>19</v>
      </c>
      <c r="W65" s="1322">
        <v>106</v>
      </c>
      <c r="X65" s="1322">
        <v>43</v>
      </c>
      <c r="Y65" s="1293">
        <v>59</v>
      </c>
      <c r="Z65" s="1322">
        <v>15</v>
      </c>
      <c r="AA65" s="1322">
        <v>0</v>
      </c>
      <c r="AB65" s="1322">
        <v>3</v>
      </c>
      <c r="AC65" s="1322">
        <v>2</v>
      </c>
      <c r="AD65" s="1240">
        <v>15</v>
      </c>
      <c r="AE65" s="1322">
        <v>3</v>
      </c>
      <c r="AF65" s="1322">
        <v>4</v>
      </c>
      <c r="AG65" s="1322">
        <v>46</v>
      </c>
      <c r="AH65" s="1240">
        <v>102</v>
      </c>
      <c r="AI65" s="1322">
        <v>0</v>
      </c>
      <c r="AJ65" s="1322">
        <v>0</v>
      </c>
      <c r="AK65" s="1322">
        <v>37</v>
      </c>
      <c r="AL65" s="1550">
        <v>50</v>
      </c>
      <c r="AM65" s="1322">
        <v>93</v>
      </c>
      <c r="AN65" s="1293">
        <v>168</v>
      </c>
      <c r="AO65" s="1293">
        <v>178</v>
      </c>
      <c r="AP65" s="1296">
        <v>-3063</v>
      </c>
      <c r="AQ65" s="1294">
        <v>42952</v>
      </c>
      <c r="AR65" s="1294">
        <v>39210</v>
      </c>
      <c r="AS65" s="1322">
        <v>62549</v>
      </c>
      <c r="AT65" s="1294">
        <v>57382</v>
      </c>
      <c r="AU65" s="1322">
        <v>48897</v>
      </c>
      <c r="AV65" s="1322">
        <v>38533</v>
      </c>
      <c r="AW65" s="1294">
        <v>42750</v>
      </c>
      <c r="AX65" s="1297"/>
      <c r="AY65" s="1248">
        <v>-129</v>
      </c>
      <c r="AZ65" s="1248">
        <v>-82</v>
      </c>
      <c r="BA65" s="1822">
        <v>-47</v>
      </c>
      <c r="BB65" s="1618">
        <v>-0.57317073170731703</v>
      </c>
      <c r="BC65" s="1633"/>
      <c r="BD65" s="1297">
        <v>-129</v>
      </c>
      <c r="BE65" s="1297">
        <v>-82</v>
      </c>
      <c r="BF65" s="1297">
        <v>-5</v>
      </c>
      <c r="BG65" s="1297">
        <v>227</v>
      </c>
      <c r="BH65" s="1297">
        <v>20</v>
      </c>
      <c r="BI65" s="1935">
        <v>25</v>
      </c>
      <c r="BJ65" s="1314">
        <v>94</v>
      </c>
      <c r="BK65" s="1314">
        <v>2226</v>
      </c>
      <c r="BL65" s="1054">
        <v>3339</v>
      </c>
      <c r="BM65" s="1799">
        <v>543</v>
      </c>
      <c r="BN65" s="1715">
        <v>236</v>
      </c>
      <c r="BO65" s="1630"/>
      <c r="BP65" s="1630"/>
      <c r="BQ65" s="1666"/>
    </row>
    <row r="66" spans="1:70" ht="12.75" customHeight="1" x14ac:dyDescent="0.2">
      <c r="A66" s="1636"/>
      <c r="B66" s="969" t="s">
        <v>65</v>
      </c>
      <c r="C66" s="1638">
        <v>207</v>
      </c>
      <c r="D66" s="1640" t="s">
        <v>42</v>
      </c>
      <c r="E66" s="1596"/>
      <c r="F66" s="1593"/>
      <c r="G66" s="1224"/>
      <c r="H66" s="1224"/>
      <c r="I66" s="2289">
        <v>174</v>
      </c>
      <c r="J66" s="1785">
        <v>363</v>
      </c>
      <c r="K66" s="1378">
        <v>950</v>
      </c>
      <c r="L66" s="1378">
        <v>38</v>
      </c>
      <c r="M66" s="1301">
        <v>-33</v>
      </c>
      <c r="N66" s="1785">
        <v>451</v>
      </c>
      <c r="O66" s="1378">
        <v>118</v>
      </c>
      <c r="P66" s="1378">
        <v>10</v>
      </c>
      <c r="Q66" s="1301">
        <v>-157</v>
      </c>
      <c r="R66" s="1785">
        <v>219</v>
      </c>
      <c r="S66" s="1378">
        <v>-315</v>
      </c>
      <c r="T66" s="1378">
        <v>-270</v>
      </c>
      <c r="U66" s="1301">
        <v>120</v>
      </c>
      <c r="V66" s="1322">
        <v>-241</v>
      </c>
      <c r="W66" s="1322">
        <v>-287</v>
      </c>
      <c r="X66" s="1378">
        <v>-5</v>
      </c>
      <c r="Y66" s="1301">
        <v>-198</v>
      </c>
      <c r="Z66" s="1322">
        <v>-6</v>
      </c>
      <c r="AA66" s="1322">
        <v>17</v>
      </c>
      <c r="AB66" s="1378">
        <v>-68</v>
      </c>
      <c r="AC66" s="1378">
        <v>-53</v>
      </c>
      <c r="AD66" s="1240">
        <v>-38</v>
      </c>
      <c r="AE66" s="1322">
        <v>8</v>
      </c>
      <c r="AF66" s="1378">
        <v>-69</v>
      </c>
      <c r="AG66" s="1378">
        <v>45</v>
      </c>
      <c r="AH66" s="1240">
        <v>1</v>
      </c>
      <c r="AI66" s="1322">
        <v>0</v>
      </c>
      <c r="AJ66" s="1378">
        <v>0</v>
      </c>
      <c r="AK66" s="1378">
        <v>414</v>
      </c>
      <c r="AL66" s="1550">
        <v>0</v>
      </c>
      <c r="AM66" s="1378">
        <v>1</v>
      </c>
      <c r="AN66" s="1301">
        <v>0</v>
      </c>
      <c r="AO66" s="1301">
        <v>1</v>
      </c>
      <c r="AP66" s="1532">
        <v>60</v>
      </c>
      <c r="AQ66" s="1979"/>
      <c r="AR66" s="1979"/>
      <c r="AS66" s="1979"/>
      <c r="AT66" s="1979"/>
      <c r="AU66" s="1979"/>
      <c r="AV66" s="1979"/>
      <c r="AW66" s="1979"/>
      <c r="AX66" s="1297"/>
      <c r="AY66" s="1248">
        <v>1318</v>
      </c>
      <c r="AZ66" s="1248">
        <v>422</v>
      </c>
      <c r="BA66" s="1822">
        <v>896</v>
      </c>
      <c r="BB66" s="1618">
        <v>2.123222748815166</v>
      </c>
      <c r="BC66" s="1635"/>
      <c r="BD66" s="1793">
        <v>1318</v>
      </c>
      <c r="BE66" s="1297">
        <v>422</v>
      </c>
      <c r="BF66" s="1297">
        <v>-246</v>
      </c>
      <c r="BG66" s="1297">
        <v>-731</v>
      </c>
      <c r="BH66" s="1297">
        <v>-110</v>
      </c>
      <c r="BI66" s="1936">
        <v>-89</v>
      </c>
      <c r="BJ66" s="1314">
        <v>158</v>
      </c>
      <c r="BK66" s="1314">
        <v>2224</v>
      </c>
      <c r="BL66" s="1054">
        <v>3314</v>
      </c>
      <c r="BM66" s="1801">
        <v>294</v>
      </c>
      <c r="BN66" s="1802">
        <v>118</v>
      </c>
      <c r="BO66" s="1630"/>
      <c r="BP66" s="1630"/>
      <c r="BQ66" s="1666"/>
    </row>
    <row r="67" spans="1:70" ht="12.75" customHeight="1" x14ac:dyDescent="0.2">
      <c r="A67" s="1636"/>
      <c r="B67" s="969"/>
      <c r="C67" s="1647">
        <v>-20715</v>
      </c>
      <c r="D67" s="1648">
        <v>-0.45796210731103398</v>
      </c>
      <c r="E67" s="1597"/>
      <c r="F67" s="1214">
        <v>0</v>
      </c>
      <c r="G67" s="1214">
        <v>0</v>
      </c>
      <c r="H67" s="1214">
        <v>0</v>
      </c>
      <c r="I67" s="2359">
        <v>24518</v>
      </c>
      <c r="J67" s="1335">
        <v>32531</v>
      </c>
      <c r="K67" s="1335">
        <v>29341</v>
      </c>
      <c r="L67" s="1335">
        <v>38339</v>
      </c>
      <c r="M67" s="1980">
        <v>45233</v>
      </c>
      <c r="N67" s="1829">
        <v>38594</v>
      </c>
      <c r="O67" s="1335">
        <v>23692</v>
      </c>
      <c r="P67" s="1335">
        <v>48910</v>
      </c>
      <c r="Q67" s="1980">
        <v>44746</v>
      </c>
      <c r="R67" s="1829">
        <v>63175</v>
      </c>
      <c r="S67" s="1335">
        <v>65707</v>
      </c>
      <c r="T67" s="1335">
        <v>42936</v>
      </c>
      <c r="U67" s="1980">
        <v>40489</v>
      </c>
      <c r="V67" s="1335">
        <v>45552</v>
      </c>
      <c r="W67" s="1335">
        <v>44248</v>
      </c>
      <c r="X67" s="1335">
        <v>39034</v>
      </c>
      <c r="Y67" s="1980">
        <v>29220</v>
      </c>
      <c r="Z67" s="1335">
        <v>19861</v>
      </c>
      <c r="AA67" s="1335">
        <v>12748</v>
      </c>
      <c r="AB67" s="1335">
        <v>9338</v>
      </c>
      <c r="AC67" s="1335">
        <v>9246</v>
      </c>
      <c r="AD67" s="1981">
        <v>34555</v>
      </c>
      <c r="AE67" s="1335">
        <v>23339</v>
      </c>
      <c r="AF67" s="1335">
        <v>18338</v>
      </c>
      <c r="AG67" s="1335">
        <v>53057</v>
      </c>
      <c r="AH67" s="1981">
        <v>32806</v>
      </c>
      <c r="AI67" s="1335">
        <v>57181</v>
      </c>
      <c r="AJ67" s="1335">
        <v>27314</v>
      </c>
      <c r="AK67" s="1335">
        <v>30054</v>
      </c>
      <c r="AL67" s="1981">
        <v>25033</v>
      </c>
      <c r="AM67" s="1335">
        <v>12639</v>
      </c>
      <c r="AN67" s="1980">
        <v>23461</v>
      </c>
      <c r="AO67" s="1980">
        <v>34352</v>
      </c>
      <c r="AP67" s="1980">
        <v>31944</v>
      </c>
      <c r="AQ67" s="1982"/>
      <c r="AR67" s="1982"/>
      <c r="AS67" s="1982"/>
      <c r="AT67" s="1982"/>
      <c r="AU67" s="1982"/>
      <c r="AV67" s="1982"/>
      <c r="AW67" s="1982"/>
      <c r="AX67" s="1983"/>
      <c r="AY67" s="1335">
        <v>145444</v>
      </c>
      <c r="AZ67" s="1335">
        <v>155942</v>
      </c>
      <c r="BA67" s="1984">
        <v>-10498</v>
      </c>
      <c r="BB67" s="1834">
        <v>-6.7319900988829173E-2</v>
      </c>
      <c r="BD67" s="1543">
        <v>145444</v>
      </c>
      <c r="BE67" s="1543">
        <v>155942</v>
      </c>
      <c r="BF67" s="1543">
        <v>212307</v>
      </c>
      <c r="BG67" s="1543">
        <v>158054</v>
      </c>
      <c r="BH67" s="1543">
        <v>51193</v>
      </c>
      <c r="BI67" s="1543">
        <v>92677</v>
      </c>
      <c r="BJ67" s="1543">
        <f t="shared" ref="BJ67:BN67" si="7">SUM(BJ61:BJ66)</f>
        <v>82454</v>
      </c>
      <c r="BK67" s="1980">
        <f t="shared" si="7"/>
        <v>72926</v>
      </c>
      <c r="BL67" s="1836">
        <f t="shared" si="7"/>
        <v>118332</v>
      </c>
      <c r="BM67" s="1836">
        <f t="shared" si="7"/>
        <v>187562</v>
      </c>
      <c r="BN67" s="1836">
        <f t="shared" si="7"/>
        <v>150470</v>
      </c>
      <c r="BO67" s="1630"/>
      <c r="BP67" s="1630"/>
    </row>
    <row r="68" spans="1:70" ht="12.75" customHeight="1" x14ac:dyDescent="0.2">
      <c r="A68" s="1636"/>
      <c r="B68" s="969"/>
      <c r="C68" s="1641"/>
      <c r="D68" s="1649"/>
      <c r="E68" s="1597"/>
      <c r="F68" s="1599"/>
      <c r="G68" s="1196"/>
      <c r="H68" s="1196"/>
      <c r="I68" s="2316"/>
      <c r="J68" s="1838"/>
      <c r="K68" s="1294"/>
      <c r="L68" s="1294"/>
      <c r="M68" s="1532"/>
      <c r="N68" s="1838"/>
      <c r="O68" s="1294"/>
      <c r="P68" s="1294"/>
      <c r="Q68" s="1532"/>
      <c r="R68" s="1838"/>
      <c r="S68" s="1294"/>
      <c r="T68" s="1294"/>
      <c r="U68" s="1532"/>
      <c r="V68" s="1294"/>
      <c r="W68" s="1537"/>
      <c r="X68" s="1294"/>
      <c r="Y68" s="1296"/>
      <c r="Z68" s="1294"/>
      <c r="AA68" s="1537"/>
      <c r="AB68" s="1294"/>
      <c r="AC68" s="1294"/>
      <c r="AD68" s="1550"/>
      <c r="AE68" s="1302"/>
      <c r="AF68" s="1302"/>
      <c r="AG68" s="1302"/>
      <c r="AH68" s="1538"/>
      <c r="AI68" s="1302"/>
      <c r="AJ68" s="1302"/>
      <c r="AK68" s="1302"/>
      <c r="AL68" s="1294"/>
      <c r="AM68" s="1294"/>
      <c r="AN68" s="1294"/>
      <c r="AO68" s="1294"/>
      <c r="AP68" s="1294"/>
      <c r="AQ68" s="1982"/>
      <c r="AR68" s="1982"/>
      <c r="AS68" s="1982"/>
      <c r="AT68" s="1982"/>
      <c r="AU68" s="1982"/>
      <c r="AV68" s="1982"/>
      <c r="AW68" s="1982"/>
      <c r="AX68" s="1983"/>
      <c r="AY68" s="1302"/>
      <c r="AZ68" s="1302"/>
      <c r="BA68" s="1937"/>
      <c r="BB68" s="1841"/>
      <c r="BD68" s="1842"/>
      <c r="BE68" s="1842"/>
      <c r="BF68" s="1842"/>
      <c r="BG68" s="1842"/>
      <c r="BH68" s="1842"/>
      <c r="BI68" s="1842"/>
      <c r="BJ68" s="1842"/>
      <c r="BK68" s="1843"/>
      <c r="BL68" s="1842"/>
      <c r="BM68" s="1843"/>
      <c r="BN68" s="1844"/>
      <c r="BO68" s="1630"/>
      <c r="BP68" s="1630"/>
    </row>
    <row r="69" spans="1:70" s="1180" customFormat="1" ht="13.5" customHeight="1" x14ac:dyDescent="0.2">
      <c r="A69" s="1429"/>
      <c r="B69" s="969" t="s">
        <v>412</v>
      </c>
      <c r="C69" s="1254">
        <v>96</v>
      </c>
      <c r="D69" s="1957">
        <v>0.22170900692840648</v>
      </c>
      <c r="E69" s="1185"/>
      <c r="F69" s="1956"/>
      <c r="G69" s="1956"/>
      <c r="H69" s="1956"/>
      <c r="I69" s="2289">
        <v>-337</v>
      </c>
      <c r="J69" s="1985">
        <v>-498</v>
      </c>
      <c r="K69" s="1985">
        <v>-393</v>
      </c>
      <c r="L69" s="1985">
        <v>-263</v>
      </c>
      <c r="M69" s="1532">
        <v>-433</v>
      </c>
      <c r="N69" s="1985">
        <v>-546</v>
      </c>
      <c r="O69" s="1985">
        <v>-433</v>
      </c>
      <c r="P69" s="1985">
        <v>-574</v>
      </c>
      <c r="Q69" s="1532">
        <v>-741</v>
      </c>
      <c r="R69" s="1985">
        <v>-951</v>
      </c>
      <c r="S69" s="1985">
        <v>-802</v>
      </c>
      <c r="T69" s="1985">
        <v>0</v>
      </c>
      <c r="U69" s="1532">
        <v>0</v>
      </c>
      <c r="V69" s="1986">
        <v>-276</v>
      </c>
      <c r="W69" s="1985">
        <v>-520</v>
      </c>
      <c r="X69" s="1985">
        <v>0</v>
      </c>
      <c r="Y69" s="1980">
        <v>-190</v>
      </c>
      <c r="Z69" s="1986">
        <v>0</v>
      </c>
      <c r="AA69" s="1985">
        <v>0</v>
      </c>
      <c r="AB69" s="1985">
        <v>0</v>
      </c>
      <c r="AC69" s="1987">
        <v>0</v>
      </c>
      <c r="AD69" s="1986">
        <v>0</v>
      </c>
      <c r="AE69" s="1988">
        <v>0</v>
      </c>
      <c r="AF69" s="1988">
        <v>0</v>
      </c>
      <c r="AG69" s="1989">
        <v>0</v>
      </c>
      <c r="AH69" s="1990" t="s">
        <v>177</v>
      </c>
      <c r="AI69" s="1991" t="s">
        <v>177</v>
      </c>
      <c r="AJ69" s="1991" t="s">
        <v>177</v>
      </c>
      <c r="AK69" s="1991" t="s">
        <v>177</v>
      </c>
      <c r="AL69" s="1992"/>
      <c r="AM69" s="1992"/>
      <c r="AN69" s="1992"/>
      <c r="AO69" s="1992"/>
      <c r="AP69" s="1992"/>
      <c r="AQ69" s="1993"/>
      <c r="AR69" s="1993"/>
      <c r="AS69" s="1993"/>
      <c r="AT69" s="1993"/>
      <c r="AU69" s="1993"/>
      <c r="AV69" s="1993"/>
      <c r="AW69" s="1993"/>
      <c r="AX69" s="1994"/>
      <c r="AY69" s="1302">
        <v>-1587</v>
      </c>
      <c r="AZ69" s="1475">
        <v>-2294</v>
      </c>
      <c r="BA69" s="1988">
        <v>707</v>
      </c>
      <c r="BB69" s="1383">
        <v>0.30819529206625979</v>
      </c>
      <c r="BC69" s="1995"/>
      <c r="BD69" s="1543">
        <v>-1587</v>
      </c>
      <c r="BE69" s="1996">
        <v>-2294</v>
      </c>
      <c r="BF69" s="1996">
        <v>-1753</v>
      </c>
      <c r="BG69" s="1996">
        <v>-986</v>
      </c>
      <c r="BH69" s="1996">
        <v>0</v>
      </c>
      <c r="BI69" s="1996">
        <v>0</v>
      </c>
      <c r="BJ69" s="1858">
        <v>0</v>
      </c>
      <c r="BK69" s="1997" t="s">
        <v>177</v>
      </c>
      <c r="BL69" s="1858" t="s">
        <v>177</v>
      </c>
      <c r="BM69" s="1858" t="s">
        <v>177</v>
      </c>
      <c r="BN69" s="1281"/>
      <c r="BO69" s="1246"/>
      <c r="BP69" s="1246"/>
      <c r="BQ69" s="1225"/>
      <c r="BR69" s="1225"/>
    </row>
    <row r="70" spans="1:70" x14ac:dyDescent="0.2">
      <c r="J70" s="1652"/>
      <c r="K70" s="1652"/>
      <c r="L70" s="1652"/>
      <c r="M70" s="1652"/>
      <c r="N70" s="1652"/>
      <c r="O70" s="1652"/>
      <c r="P70" s="1652"/>
      <c r="Q70" s="1652"/>
      <c r="R70" s="1652"/>
      <c r="S70" s="1652"/>
      <c r="T70" s="1652"/>
      <c r="U70" s="1652"/>
      <c r="V70" s="1652"/>
      <c r="W70" s="1652"/>
      <c r="X70" s="1652"/>
      <c r="Y70" s="1652"/>
      <c r="Z70" s="1652"/>
      <c r="AA70" s="1652"/>
      <c r="AB70" s="1652"/>
      <c r="AC70" s="1652"/>
      <c r="AD70" s="1652"/>
      <c r="AE70" s="1652"/>
      <c r="AF70" s="1652"/>
      <c r="AG70" s="1652"/>
      <c r="AH70" s="1652"/>
      <c r="AI70" s="1652"/>
      <c r="AJ70" s="1652"/>
      <c r="AK70" s="1652"/>
      <c r="AL70" s="1652"/>
      <c r="AM70" s="1652"/>
      <c r="AN70" s="1652"/>
      <c r="AO70" s="1652"/>
      <c r="AP70" s="1652"/>
      <c r="AQ70" s="1652"/>
      <c r="AR70" s="1652"/>
      <c r="AS70" s="1652"/>
      <c r="AT70" s="1652"/>
      <c r="AU70" s="1652"/>
      <c r="AV70" s="1652"/>
      <c r="AW70" s="1652"/>
      <c r="AX70" s="1652"/>
      <c r="AY70" s="1652"/>
      <c r="AZ70" s="1652"/>
      <c r="BA70" s="1998"/>
      <c r="BB70" s="1864"/>
      <c r="BC70" s="1652"/>
      <c r="BD70" s="1652"/>
      <c r="BE70" s="1652"/>
      <c r="BF70" s="1652"/>
      <c r="BG70" s="1652"/>
      <c r="BH70" s="1652"/>
      <c r="BI70" s="1652"/>
      <c r="BJ70" s="1652"/>
      <c r="BK70" s="1652"/>
      <c r="BL70" s="1652"/>
      <c r="BM70" s="1652"/>
      <c r="BN70" s="1652"/>
      <c r="BO70" s="1652">
        <f>BO69-BO67</f>
        <v>0</v>
      </c>
      <c r="BP70" s="1652">
        <f>BP69-BP67</f>
        <v>0</v>
      </c>
      <c r="BQ70" s="1652">
        <f>BQ69-BQ67</f>
        <v>0</v>
      </c>
    </row>
    <row r="71" spans="1:70" x14ac:dyDescent="0.2">
      <c r="A71" s="969" t="s">
        <v>381</v>
      </c>
      <c r="J71" s="1652"/>
      <c r="K71" s="1652"/>
      <c r="L71" s="1652"/>
      <c r="M71" s="1652"/>
      <c r="N71" s="1652"/>
      <c r="O71" s="1652"/>
      <c r="P71" s="1652"/>
      <c r="Q71" s="1652"/>
      <c r="R71" s="1652"/>
      <c r="S71" s="1652"/>
      <c r="T71" s="1652"/>
      <c r="U71" s="1652"/>
      <c r="V71" s="1652"/>
      <c r="W71" s="1652"/>
      <c r="X71" s="1652"/>
      <c r="Y71" s="1652"/>
      <c r="Z71" s="1652"/>
      <c r="AB71" s="1652"/>
      <c r="AC71" s="1652"/>
      <c r="AG71" s="1652"/>
      <c r="AK71" s="1652"/>
      <c r="AL71" s="1652"/>
      <c r="AM71" s="1652"/>
      <c r="AN71" s="1652"/>
      <c r="AO71" s="1652"/>
      <c r="AP71" s="1652"/>
      <c r="AQ71" s="1652"/>
      <c r="AR71" s="1652"/>
      <c r="AS71" s="1652"/>
      <c r="AT71" s="1652"/>
      <c r="AU71" s="1652"/>
      <c r="AV71" s="1652"/>
      <c r="AW71" s="1652"/>
      <c r="AX71" s="1652"/>
      <c r="AY71" s="1652"/>
      <c r="AZ71" s="1652"/>
      <c r="BA71" s="1998"/>
      <c r="BB71" s="1864"/>
      <c r="BC71" s="1652"/>
      <c r="BD71" s="1652"/>
      <c r="BE71" s="1652"/>
      <c r="BF71" s="1652"/>
      <c r="BG71" s="1652"/>
      <c r="BH71" s="1652"/>
      <c r="BI71" s="1652"/>
      <c r="BJ71" s="1652"/>
      <c r="BK71" s="1652"/>
      <c r="BL71" s="1652"/>
      <c r="BM71" s="1865"/>
      <c r="BN71" s="1865"/>
    </row>
    <row r="72" spans="1:70" x14ac:dyDescent="0.2">
      <c r="A72" s="989" t="s">
        <v>29</v>
      </c>
      <c r="AO72" s="1644"/>
      <c r="AP72" s="1876"/>
      <c r="AQ72" s="1773"/>
      <c r="AR72" s="1773"/>
      <c r="AS72" s="1773"/>
      <c r="AT72" s="1876"/>
      <c r="AU72" s="1773"/>
      <c r="AV72" s="1773"/>
      <c r="AW72" s="1628"/>
      <c r="AY72" s="1603"/>
      <c r="AZ72" s="1603"/>
      <c r="BL72" s="1773"/>
      <c r="BM72" s="1773"/>
    </row>
    <row r="73" spans="1:70" x14ac:dyDescent="0.2">
      <c r="A73" s="964"/>
      <c r="M73" s="1652"/>
      <c r="Q73" s="1652"/>
      <c r="U73" s="1652"/>
      <c r="AO73" s="1644"/>
      <c r="AP73" s="1773"/>
      <c r="AQ73" s="1773"/>
      <c r="AR73" s="1773"/>
      <c r="AS73" s="1773"/>
      <c r="AT73" s="1773"/>
      <c r="AU73" s="1773"/>
      <c r="AV73" s="1773"/>
      <c r="AW73" s="1628"/>
      <c r="AY73" s="1603"/>
      <c r="AZ73" s="1603"/>
      <c r="BL73" s="1773"/>
      <c r="BM73" s="1773"/>
    </row>
    <row r="74" spans="1:70" x14ac:dyDescent="0.2">
      <c r="A74" s="969" t="s">
        <v>310</v>
      </c>
      <c r="AO74" s="1644"/>
      <c r="AP74" s="1773"/>
      <c r="AQ74" s="1773"/>
      <c r="AR74" s="1773"/>
      <c r="AS74" s="1773"/>
      <c r="AT74" s="1773"/>
      <c r="AU74" s="1773"/>
      <c r="AV74" s="1773"/>
      <c r="AW74" s="1628"/>
      <c r="AY74" s="1603"/>
      <c r="AZ74" s="1603"/>
      <c r="BL74" s="1773"/>
      <c r="BM74" s="1773"/>
    </row>
    <row r="75" spans="1:70" x14ac:dyDescent="0.2">
      <c r="AO75" s="1773"/>
      <c r="AP75" s="1773"/>
      <c r="AQ75" s="1773"/>
      <c r="AR75" s="1773"/>
      <c r="AS75" s="1773"/>
      <c r="AT75" s="1773"/>
      <c r="AU75" s="1773"/>
      <c r="AV75" s="1773"/>
      <c r="AW75" s="1773"/>
      <c r="AY75" s="1603"/>
      <c r="AZ75" s="1603"/>
      <c r="BL75" s="1877"/>
      <c r="BM75" s="1877"/>
    </row>
    <row r="76" spans="1:70" x14ac:dyDescent="0.2">
      <c r="AO76" s="1877"/>
      <c r="AP76" s="1877"/>
      <c r="AQ76" s="1877"/>
      <c r="AR76" s="1877"/>
      <c r="AS76" s="1877"/>
      <c r="AT76" s="1877"/>
      <c r="AU76" s="1877"/>
      <c r="AV76" s="1877"/>
      <c r="AW76" s="1877"/>
      <c r="AY76" s="1603"/>
      <c r="AZ76" s="1603"/>
      <c r="BL76" s="1877"/>
      <c r="BM76" s="1877"/>
    </row>
    <row r="77" spans="1:70" x14ac:dyDescent="0.2">
      <c r="E77" s="1559"/>
      <c r="F77" s="1559"/>
      <c r="G77" s="1559"/>
      <c r="H77" s="1559"/>
      <c r="I77" s="1559"/>
      <c r="J77" s="1602"/>
      <c r="K77" s="1602"/>
      <c r="L77" s="1602"/>
      <c r="M77" s="1602"/>
      <c r="N77" s="1602"/>
      <c r="O77" s="1602"/>
      <c r="P77" s="1602"/>
      <c r="Q77" s="1602"/>
      <c r="R77" s="1602"/>
      <c r="S77" s="1602"/>
      <c r="T77" s="1602"/>
      <c r="U77" s="1602"/>
      <c r="V77" s="1602"/>
      <c r="W77" s="1602"/>
      <c r="X77" s="1602"/>
      <c r="Y77" s="1602"/>
      <c r="Z77" s="1602"/>
      <c r="AA77" s="1602"/>
      <c r="AB77" s="1602"/>
      <c r="AC77" s="1602"/>
      <c r="AD77" s="1602"/>
      <c r="AE77" s="1602"/>
      <c r="AF77" s="1602"/>
      <c r="AG77" s="1602"/>
      <c r="AH77" s="1602"/>
      <c r="AI77" s="1602"/>
      <c r="AJ77" s="1602"/>
      <c r="AK77" s="1602"/>
      <c r="AL77" s="1602"/>
      <c r="AM77" s="1602"/>
      <c r="AN77" s="1602"/>
      <c r="AO77" s="1877"/>
      <c r="AP77" s="1877"/>
      <c r="AQ77" s="1877"/>
      <c r="AR77" s="1877"/>
      <c r="AS77" s="1877"/>
      <c r="AT77" s="1877"/>
      <c r="AU77" s="1877"/>
      <c r="AV77" s="1877"/>
      <c r="AW77" s="1877"/>
      <c r="AY77" s="1603"/>
      <c r="AZ77" s="1603"/>
      <c r="BL77" s="1603"/>
      <c r="BM77" s="1603"/>
    </row>
    <row r="78" spans="1:70" x14ac:dyDescent="0.2">
      <c r="E78" s="1559"/>
      <c r="F78" s="1559"/>
      <c r="G78" s="1559"/>
      <c r="H78" s="1559"/>
      <c r="I78" s="1559"/>
      <c r="J78" s="1602"/>
      <c r="K78" s="1602"/>
      <c r="L78" s="1602"/>
      <c r="M78" s="1602"/>
      <c r="N78" s="1602"/>
      <c r="O78" s="1602"/>
      <c r="P78" s="1602"/>
      <c r="Q78" s="1602"/>
      <c r="R78" s="1602"/>
      <c r="S78" s="1602"/>
      <c r="T78" s="1602"/>
      <c r="U78" s="1602"/>
      <c r="V78" s="1602"/>
      <c r="W78" s="1602"/>
      <c r="X78" s="1602"/>
      <c r="Y78" s="1602"/>
      <c r="Z78" s="1602"/>
      <c r="AA78" s="1602"/>
      <c r="AB78" s="1602"/>
      <c r="AC78" s="1602"/>
      <c r="AD78" s="1602"/>
      <c r="AE78" s="1602"/>
      <c r="AF78" s="1602"/>
      <c r="AG78" s="1602"/>
      <c r="AH78" s="1602"/>
      <c r="AI78" s="1602"/>
      <c r="AJ78" s="1602"/>
      <c r="AK78" s="1602"/>
      <c r="AL78" s="1602"/>
      <c r="AM78" s="1602"/>
      <c r="AN78" s="1602"/>
      <c r="AO78" s="1603"/>
      <c r="AP78" s="1603"/>
      <c r="AQ78" s="1603"/>
      <c r="AR78" s="1603"/>
      <c r="AS78" s="1603"/>
      <c r="AT78" s="1603"/>
      <c r="AU78" s="1603"/>
      <c r="AV78" s="1603"/>
      <c r="AW78" s="1603"/>
      <c r="AY78" s="1603"/>
      <c r="AZ78" s="1603"/>
      <c r="BL78" s="1603"/>
      <c r="BM78" s="1603"/>
    </row>
    <row r="79" spans="1:70" x14ac:dyDescent="0.2">
      <c r="E79" s="1559"/>
      <c r="F79" s="1559"/>
      <c r="G79" s="1559"/>
      <c r="H79" s="1559"/>
      <c r="I79" s="1559"/>
      <c r="J79" s="1602"/>
      <c r="K79" s="1602"/>
      <c r="L79" s="1602"/>
      <c r="M79" s="1999"/>
      <c r="N79" s="1602"/>
      <c r="O79" s="1602"/>
      <c r="P79" s="1602"/>
      <c r="Q79" s="1602"/>
      <c r="R79" s="1602"/>
      <c r="S79" s="1602"/>
      <c r="T79" s="1602"/>
      <c r="U79" s="1602"/>
      <c r="V79" s="1602"/>
      <c r="W79" s="1602"/>
      <c r="X79" s="1602"/>
      <c r="Y79" s="1602"/>
      <c r="Z79" s="1602"/>
      <c r="AA79" s="1602"/>
      <c r="AB79" s="1602"/>
      <c r="AC79" s="1602"/>
      <c r="AD79" s="1602"/>
      <c r="AE79" s="1602"/>
      <c r="AF79" s="1602"/>
      <c r="AG79" s="1602"/>
      <c r="AH79" s="1602"/>
      <c r="AI79" s="1602"/>
      <c r="AJ79" s="1602"/>
      <c r="AK79" s="1602"/>
      <c r="AL79" s="1602"/>
      <c r="AM79" s="1602"/>
      <c r="AN79" s="1602"/>
      <c r="AO79" s="1603"/>
      <c r="AP79" s="1603"/>
      <c r="AQ79" s="1603"/>
      <c r="AR79" s="1603"/>
      <c r="AS79" s="1603"/>
      <c r="AT79" s="1603"/>
      <c r="AU79" s="1603"/>
      <c r="AV79" s="1603"/>
      <c r="AW79" s="1603"/>
      <c r="AY79" s="1603"/>
      <c r="AZ79" s="1603"/>
      <c r="BL79" s="1603"/>
      <c r="BM79" s="1603"/>
    </row>
    <row r="80" spans="1:70" x14ac:dyDescent="0.2">
      <c r="E80" s="1559"/>
      <c r="F80" s="1559"/>
      <c r="G80" s="1559"/>
      <c r="H80" s="1559"/>
      <c r="I80" s="1559"/>
      <c r="J80" s="1602"/>
      <c r="K80" s="1602"/>
      <c r="L80" s="1602"/>
      <c r="M80" s="1602"/>
      <c r="N80" s="1602"/>
      <c r="O80" s="1602"/>
      <c r="P80" s="1602"/>
      <c r="Q80" s="1602"/>
      <c r="R80" s="1602"/>
      <c r="S80" s="1602"/>
      <c r="T80" s="1602"/>
      <c r="U80" s="1602"/>
      <c r="V80" s="1602"/>
      <c r="W80" s="1602"/>
      <c r="X80" s="1602"/>
      <c r="Y80" s="1602"/>
      <c r="Z80" s="1602"/>
      <c r="AA80" s="1602"/>
      <c r="AB80" s="1602"/>
      <c r="AC80" s="1602"/>
      <c r="AD80" s="1602"/>
      <c r="AE80" s="1602"/>
      <c r="AF80" s="1602"/>
      <c r="AG80" s="1602"/>
      <c r="AH80" s="1602"/>
      <c r="AI80" s="1602"/>
      <c r="AJ80" s="1602"/>
      <c r="AK80" s="1602"/>
      <c r="AL80" s="1602"/>
      <c r="AM80" s="1602"/>
      <c r="AN80" s="1602"/>
      <c r="AO80" s="1603"/>
      <c r="AP80" s="1603"/>
      <c r="AQ80" s="1603"/>
      <c r="AR80" s="1603"/>
      <c r="AS80" s="1603"/>
      <c r="AT80" s="1603"/>
      <c r="AU80" s="1603"/>
      <c r="AV80" s="1603"/>
      <c r="AW80" s="1603"/>
      <c r="AY80" s="1603"/>
      <c r="AZ80" s="1603"/>
      <c r="BL80" s="1603"/>
      <c r="BM80" s="1603"/>
    </row>
    <row r="81" spans="5:65" x14ac:dyDescent="0.2">
      <c r="E81" s="1559"/>
      <c r="F81" s="1559"/>
      <c r="G81" s="1559"/>
      <c r="H81" s="1559"/>
      <c r="I81" s="1559"/>
      <c r="J81" s="1602"/>
      <c r="K81" s="1602"/>
      <c r="L81" s="1602"/>
      <c r="M81" s="1602"/>
      <c r="N81" s="1602"/>
      <c r="O81" s="1602"/>
      <c r="P81" s="1602"/>
      <c r="Q81" s="1602"/>
      <c r="R81" s="1602"/>
      <c r="S81" s="1602"/>
      <c r="T81" s="1602"/>
      <c r="U81" s="1602"/>
      <c r="V81" s="1602"/>
      <c r="W81" s="1602"/>
      <c r="X81" s="1602"/>
      <c r="Y81" s="1602"/>
      <c r="Z81" s="1602"/>
      <c r="AA81" s="1602"/>
      <c r="AB81" s="1602"/>
      <c r="AC81" s="1602"/>
      <c r="AD81" s="1602"/>
      <c r="AE81" s="1602"/>
      <c r="AF81" s="1602"/>
      <c r="AG81" s="1602"/>
      <c r="AH81" s="1602"/>
      <c r="AI81" s="1602"/>
      <c r="AJ81" s="1602"/>
      <c r="AK81" s="1602"/>
      <c r="AL81" s="1602"/>
      <c r="AM81" s="1602"/>
      <c r="AN81" s="1602"/>
      <c r="AO81" s="1603"/>
      <c r="AP81" s="1603"/>
      <c r="AQ81" s="1603"/>
      <c r="AR81" s="1603"/>
      <c r="AS81" s="1603"/>
      <c r="AT81" s="1603"/>
      <c r="AU81" s="1603"/>
      <c r="AV81" s="1603"/>
      <c r="AW81" s="1603"/>
      <c r="AY81" s="1603"/>
      <c r="AZ81" s="1603"/>
      <c r="BL81" s="1603"/>
      <c r="BM81" s="1603"/>
    </row>
    <row r="82" spans="5:65" x14ac:dyDescent="0.2">
      <c r="E82" s="1559"/>
      <c r="F82" s="1559"/>
      <c r="G82" s="1559"/>
      <c r="H82" s="1559"/>
      <c r="I82" s="1559"/>
      <c r="J82" s="1602"/>
      <c r="K82" s="1602"/>
      <c r="L82" s="1602"/>
      <c r="M82" s="1602"/>
      <c r="N82" s="1602"/>
      <c r="O82" s="1602"/>
      <c r="P82" s="1602"/>
      <c r="Q82" s="1602"/>
      <c r="R82" s="1602"/>
      <c r="S82" s="1602"/>
      <c r="T82" s="1602"/>
      <c r="U82" s="1602"/>
      <c r="V82" s="1602"/>
      <c r="W82" s="1602"/>
      <c r="X82" s="1602"/>
      <c r="Y82" s="1602"/>
      <c r="Z82" s="1602"/>
      <c r="AA82" s="1602"/>
      <c r="AB82" s="1602"/>
      <c r="AC82" s="1602"/>
      <c r="AD82" s="1602"/>
      <c r="AE82" s="1602"/>
      <c r="AF82" s="1602"/>
      <c r="AG82" s="1602"/>
      <c r="AH82" s="1602"/>
      <c r="AI82" s="1602"/>
      <c r="AJ82" s="1602"/>
      <c r="AK82" s="1602"/>
      <c r="AL82" s="1602"/>
      <c r="AM82" s="1602"/>
      <c r="AN82" s="1602"/>
      <c r="AO82" s="1603"/>
      <c r="AP82" s="1603"/>
      <c r="AQ82" s="1603"/>
      <c r="AR82" s="1603"/>
      <c r="AS82" s="1603"/>
      <c r="AT82" s="1603"/>
      <c r="AU82" s="1603"/>
      <c r="AV82" s="1603"/>
      <c r="AW82" s="1603"/>
      <c r="AY82" s="1603"/>
      <c r="AZ82" s="1603"/>
    </row>
  </sheetData>
  <mergeCells count="11">
    <mergeCell ref="C59:D59"/>
    <mergeCell ref="C60:D60"/>
    <mergeCell ref="BA60:BB60"/>
    <mergeCell ref="A33:B33"/>
    <mergeCell ref="C10:D10"/>
    <mergeCell ref="C11:D11"/>
    <mergeCell ref="BA11:BB11"/>
    <mergeCell ref="A31:B31"/>
    <mergeCell ref="C47:D47"/>
    <mergeCell ref="C48:D48"/>
    <mergeCell ref="BA48:BB48"/>
  </mergeCells>
  <conditionalFormatting sqref="A45:A46 AQ54:AW57 A66:A67 A58 AS41:AW41 AQ37:AW40 A34:B34 A37:B38 B35 BG54:BM57 BK40:BM41 BK37:BM38 BE54:BG56">
    <cfRule type="cellIs" dxfId="48" priority="11" stopIfTrue="1" operator="equal">
      <formula>0</formula>
    </cfRule>
  </conditionalFormatting>
  <conditionalFormatting sqref="BG57">
    <cfRule type="cellIs" dxfId="47" priority="10" stopIfTrue="1" operator="equal">
      <formula>0</formula>
    </cfRule>
  </conditionalFormatting>
  <conditionalFormatting sqref="A68">
    <cfRule type="cellIs" dxfId="46" priority="9" stopIfTrue="1" operator="equal">
      <formula>0</formula>
    </cfRule>
  </conditionalFormatting>
  <conditionalFormatting sqref="A69">
    <cfRule type="cellIs" dxfId="45" priority="7" stopIfTrue="1" operator="equal">
      <formula>0</formula>
    </cfRule>
  </conditionalFormatting>
  <conditionalFormatting sqref="A69">
    <cfRule type="cellIs" dxfId="44" priority="8" stopIfTrue="1" operator="equal">
      <formula>0</formula>
    </cfRule>
  </conditionalFormatting>
  <conditionalFormatting sqref="A35:A36">
    <cfRule type="cellIs" dxfId="43" priority="6" stopIfTrue="1" operator="equal">
      <formula>0</formula>
    </cfRule>
  </conditionalFormatting>
  <conditionalFormatting sqref="BF57">
    <cfRule type="cellIs" dxfId="42" priority="5" stopIfTrue="1" operator="equal">
      <formula>0</formula>
    </cfRule>
  </conditionalFormatting>
  <conditionalFormatting sqref="BE57">
    <cfRule type="cellIs" dxfId="41" priority="3" stopIfTrue="1" operator="equal">
      <formula>0</formula>
    </cfRule>
  </conditionalFormatting>
  <conditionalFormatting sqref="BD57">
    <cfRule type="cellIs" dxfId="40" priority="1" stopIfTrue="1" operator="equal">
      <formula>0</formula>
    </cfRule>
  </conditionalFormatting>
  <printOptions horizontalCentered="1"/>
  <pageMargins left="0.3" right="0.3" top="0.4" bottom="0.6" header="0" footer="0.3"/>
  <pageSetup scale="55" orientation="landscape" r:id="rId1"/>
  <headerFooter alignWithMargins="0">
    <oddFooter>&amp;L&amp;F&amp;CPage 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X93"/>
  <sheetViews>
    <sheetView zoomScale="85" zoomScaleNormal="85" zoomScaleSheetLayoutView="80" zoomScalePageLayoutView="80" workbookViewId="0">
      <selection activeCell="BH57" sqref="BH57"/>
    </sheetView>
  </sheetViews>
  <sheetFormatPr defaultRowHeight="12.75" x14ac:dyDescent="0.2"/>
  <cols>
    <col min="1" max="1" width="2.7109375" style="1225" customWidth="1"/>
    <col min="2" max="2" width="45.7109375" style="1225" customWidth="1"/>
    <col min="3" max="3" width="10.7109375" style="1225" customWidth="1"/>
    <col min="4" max="4" width="10.140625" style="1225" customWidth="1"/>
    <col min="5" max="5" width="1.5703125" style="1181" customWidth="1"/>
    <col min="6" max="8" width="8.28515625" style="1181" hidden="1" customWidth="1"/>
    <col min="9" max="9" width="11" style="1181" customWidth="1"/>
    <col min="10" max="10" width="9.7109375" style="1226" customWidth="1"/>
    <col min="11" max="11" width="11" style="1226" bestFit="1" customWidth="1"/>
    <col min="12" max="12" width="9.140625" style="1226" customWidth="1"/>
    <col min="13" max="13" width="8.5703125" style="1226" customWidth="1"/>
    <col min="14" max="14" width="9.7109375" style="1226" customWidth="1"/>
    <col min="15" max="15" width="7.7109375" style="1226" bestFit="1" customWidth="1"/>
    <col min="16" max="16" width="9.140625" style="1226" customWidth="1"/>
    <col min="17" max="17" width="8.5703125" style="1226" customWidth="1"/>
    <col min="18" max="20" width="9.140625" style="1226" hidden="1" customWidth="1"/>
    <col min="21" max="21" width="8.5703125" style="1226" hidden="1" customWidth="1"/>
    <col min="22" max="23" width="9.140625" style="1226" hidden="1" customWidth="1"/>
    <col min="24" max="24" width="8.42578125" style="1226" hidden="1" customWidth="1"/>
    <col min="25" max="27" width="8.5703125" style="1226" hidden="1" customWidth="1"/>
    <col min="28" max="28" width="9.140625" style="1226" hidden="1" customWidth="1"/>
    <col min="29" max="38" width="8.5703125" style="1226" hidden="1" customWidth="1"/>
    <col min="39" max="40" width="9.7109375" style="1226" hidden="1" customWidth="1"/>
    <col min="41" max="49" width="9.7109375" style="1225" hidden="1" customWidth="1"/>
    <col min="50" max="50" width="1.5703125" style="1226" hidden="1" customWidth="1"/>
    <col min="51" max="52" width="9.85546875" style="1225" hidden="1" customWidth="1"/>
    <col min="53" max="53" width="10.85546875" style="1385" hidden="1" customWidth="1"/>
    <col min="54" max="54" width="8.85546875" style="1385" hidden="1" customWidth="1"/>
    <col min="55" max="55" width="1.5703125" style="1225" customWidth="1"/>
    <col min="56" max="60" width="9.7109375" style="1385" customWidth="1"/>
    <col min="61" max="61" width="9.7109375" style="1385" hidden="1" customWidth="1"/>
    <col min="62" max="62" width="9.28515625" style="1225" hidden="1" customWidth="1"/>
    <col min="63" max="68" width="9.7109375" style="1225" hidden="1" customWidth="1"/>
    <col min="69" max="69" width="1.5703125" style="1225" customWidth="1"/>
    <col min="70" max="70" width="9.140625" style="1225"/>
    <col min="71" max="283" width="9.140625" style="1180"/>
    <col min="284" max="284" width="2.7109375" style="1180" customWidth="1"/>
    <col min="285" max="285" width="38.140625" style="1180" customWidth="1"/>
    <col min="286" max="286" width="9.85546875" style="1180" customWidth="1"/>
    <col min="287" max="287" width="9.7109375" style="1180" customWidth="1"/>
    <col min="288" max="288" width="1.5703125" style="1180" customWidth="1"/>
    <col min="289" max="291" width="0" style="1180" hidden="1" customWidth="1"/>
    <col min="292" max="300" width="8.5703125" style="1180" customWidth="1"/>
    <col min="301" max="315" width="0" style="1180" hidden="1" customWidth="1"/>
    <col min="316" max="316" width="1.5703125" style="1180" customWidth="1"/>
    <col min="317" max="317" width="9.7109375" style="1180" customWidth="1"/>
    <col min="318" max="318" width="9.28515625" style="1180" customWidth="1"/>
    <col min="319" max="321" width="9.7109375" style="1180" customWidth="1"/>
    <col min="322" max="324" width="0" style="1180" hidden="1" customWidth="1"/>
    <col min="325" max="325" width="1.5703125" style="1180" customWidth="1"/>
    <col min="326" max="539" width="9.140625" style="1180"/>
    <col min="540" max="540" width="2.7109375" style="1180" customWidth="1"/>
    <col min="541" max="541" width="38.140625" style="1180" customWidth="1"/>
    <col min="542" max="542" width="9.85546875" style="1180" customWidth="1"/>
    <col min="543" max="543" width="9.7109375" style="1180" customWidth="1"/>
    <col min="544" max="544" width="1.5703125" style="1180" customWidth="1"/>
    <col min="545" max="547" width="0" style="1180" hidden="1" customWidth="1"/>
    <col min="548" max="556" width="8.5703125" style="1180" customWidth="1"/>
    <col min="557" max="571" width="0" style="1180" hidden="1" customWidth="1"/>
    <col min="572" max="572" width="1.5703125" style="1180" customWidth="1"/>
    <col min="573" max="573" width="9.7109375" style="1180" customWidth="1"/>
    <col min="574" max="574" width="9.28515625" style="1180" customWidth="1"/>
    <col min="575" max="577" width="9.7109375" style="1180" customWidth="1"/>
    <col min="578" max="580" width="0" style="1180" hidden="1" customWidth="1"/>
    <col min="581" max="581" width="1.5703125" style="1180" customWidth="1"/>
    <col min="582" max="795" width="9.140625" style="1180"/>
    <col min="796" max="796" width="2.7109375" style="1180" customWidth="1"/>
    <col min="797" max="797" width="38.140625" style="1180" customWidth="1"/>
    <col min="798" max="798" width="9.85546875" style="1180" customWidth="1"/>
    <col min="799" max="799" width="9.7109375" style="1180" customWidth="1"/>
    <col min="800" max="800" width="1.5703125" style="1180" customWidth="1"/>
    <col min="801" max="803" width="0" style="1180" hidden="1" customWidth="1"/>
    <col min="804" max="812" width="8.5703125" style="1180" customWidth="1"/>
    <col min="813" max="827" width="0" style="1180" hidden="1" customWidth="1"/>
    <col min="828" max="828" width="1.5703125" style="1180" customWidth="1"/>
    <col min="829" max="829" width="9.7109375" style="1180" customWidth="1"/>
    <col min="830" max="830" width="9.28515625" style="1180" customWidth="1"/>
    <col min="831" max="833" width="9.7109375" style="1180" customWidth="1"/>
    <col min="834" max="836" width="0" style="1180" hidden="1" customWidth="1"/>
    <col min="837" max="837" width="1.5703125" style="1180" customWidth="1"/>
    <col min="838" max="1051" width="9.140625" style="1180"/>
    <col min="1052" max="1052" width="2.7109375" style="1180" customWidth="1"/>
    <col min="1053" max="1053" width="38.140625" style="1180" customWidth="1"/>
    <col min="1054" max="1054" width="9.85546875" style="1180" customWidth="1"/>
    <col min="1055" max="1055" width="9.7109375" style="1180" customWidth="1"/>
    <col min="1056" max="1056" width="1.5703125" style="1180" customWidth="1"/>
    <col min="1057" max="1059" width="0" style="1180" hidden="1" customWidth="1"/>
    <col min="1060" max="1068" width="8.5703125" style="1180" customWidth="1"/>
    <col min="1069" max="1083" width="0" style="1180" hidden="1" customWidth="1"/>
    <col min="1084" max="1084" width="1.5703125" style="1180" customWidth="1"/>
    <col min="1085" max="1085" width="9.7109375" style="1180" customWidth="1"/>
    <col min="1086" max="1086" width="9.28515625" style="1180" customWidth="1"/>
    <col min="1087" max="1089" width="9.7109375" style="1180" customWidth="1"/>
    <col min="1090" max="1092" width="0" style="1180" hidden="1" customWidth="1"/>
    <col min="1093" max="1093" width="1.5703125" style="1180" customWidth="1"/>
    <col min="1094" max="1307" width="9.140625" style="1180"/>
    <col min="1308" max="1308" width="2.7109375" style="1180" customWidth="1"/>
    <col min="1309" max="1309" width="38.140625" style="1180" customWidth="1"/>
    <col min="1310" max="1310" width="9.85546875" style="1180" customWidth="1"/>
    <col min="1311" max="1311" width="9.7109375" style="1180" customWidth="1"/>
    <col min="1312" max="1312" width="1.5703125" style="1180" customWidth="1"/>
    <col min="1313" max="1315" width="0" style="1180" hidden="1" customWidth="1"/>
    <col min="1316" max="1324" width="8.5703125" style="1180" customWidth="1"/>
    <col min="1325" max="1339" width="0" style="1180" hidden="1" customWidth="1"/>
    <col min="1340" max="1340" width="1.5703125" style="1180" customWidth="1"/>
    <col min="1341" max="1341" width="9.7109375" style="1180" customWidth="1"/>
    <col min="1342" max="1342" width="9.28515625" style="1180" customWidth="1"/>
    <col min="1343" max="1345" width="9.7109375" style="1180" customWidth="1"/>
    <col min="1346" max="1348" width="0" style="1180" hidden="1" customWidth="1"/>
    <col min="1349" max="1349" width="1.5703125" style="1180" customWidth="1"/>
    <col min="1350" max="1563" width="9.140625" style="1180"/>
    <col min="1564" max="1564" width="2.7109375" style="1180" customWidth="1"/>
    <col min="1565" max="1565" width="38.140625" style="1180" customWidth="1"/>
    <col min="1566" max="1566" width="9.85546875" style="1180" customWidth="1"/>
    <col min="1567" max="1567" width="9.7109375" style="1180" customWidth="1"/>
    <col min="1568" max="1568" width="1.5703125" style="1180" customWidth="1"/>
    <col min="1569" max="1571" width="0" style="1180" hidden="1" customWidth="1"/>
    <col min="1572" max="1580" width="8.5703125" style="1180" customWidth="1"/>
    <col min="1581" max="1595" width="0" style="1180" hidden="1" customWidth="1"/>
    <col min="1596" max="1596" width="1.5703125" style="1180" customWidth="1"/>
    <col min="1597" max="1597" width="9.7109375" style="1180" customWidth="1"/>
    <col min="1598" max="1598" width="9.28515625" style="1180" customWidth="1"/>
    <col min="1599" max="1601" width="9.7109375" style="1180" customWidth="1"/>
    <col min="1602" max="1604" width="0" style="1180" hidden="1" customWidth="1"/>
    <col min="1605" max="1605" width="1.5703125" style="1180" customWidth="1"/>
    <col min="1606" max="1819" width="9.140625" style="1180"/>
    <col min="1820" max="1820" width="2.7109375" style="1180" customWidth="1"/>
    <col min="1821" max="1821" width="38.140625" style="1180" customWidth="1"/>
    <col min="1822" max="1822" width="9.85546875" style="1180" customWidth="1"/>
    <col min="1823" max="1823" width="9.7109375" style="1180" customWidth="1"/>
    <col min="1824" max="1824" width="1.5703125" style="1180" customWidth="1"/>
    <col min="1825" max="1827" width="0" style="1180" hidden="1" customWidth="1"/>
    <col min="1828" max="1836" width="8.5703125" style="1180" customWidth="1"/>
    <col min="1837" max="1851" width="0" style="1180" hidden="1" customWidth="1"/>
    <col min="1852" max="1852" width="1.5703125" style="1180" customWidth="1"/>
    <col min="1853" max="1853" width="9.7109375" style="1180" customWidth="1"/>
    <col min="1854" max="1854" width="9.28515625" style="1180" customWidth="1"/>
    <col min="1855" max="1857" width="9.7109375" style="1180" customWidth="1"/>
    <col min="1858" max="1860" width="0" style="1180" hidden="1" customWidth="1"/>
    <col min="1861" max="1861" width="1.5703125" style="1180" customWidth="1"/>
    <col min="1862" max="2075" width="9.140625" style="1180"/>
    <col min="2076" max="2076" width="2.7109375" style="1180" customWidth="1"/>
    <col min="2077" max="2077" width="38.140625" style="1180" customWidth="1"/>
    <col min="2078" max="2078" width="9.85546875" style="1180" customWidth="1"/>
    <col min="2079" max="2079" width="9.7109375" style="1180" customWidth="1"/>
    <col min="2080" max="2080" width="1.5703125" style="1180" customWidth="1"/>
    <col min="2081" max="2083" width="0" style="1180" hidden="1" customWidth="1"/>
    <col min="2084" max="2092" width="8.5703125" style="1180" customWidth="1"/>
    <col min="2093" max="2107" width="0" style="1180" hidden="1" customWidth="1"/>
    <col min="2108" max="2108" width="1.5703125" style="1180" customWidth="1"/>
    <col min="2109" max="2109" width="9.7109375" style="1180" customWidth="1"/>
    <col min="2110" max="2110" width="9.28515625" style="1180" customWidth="1"/>
    <col min="2111" max="2113" width="9.7109375" style="1180" customWidth="1"/>
    <col min="2114" max="2116" width="0" style="1180" hidden="1" customWidth="1"/>
    <col min="2117" max="2117" width="1.5703125" style="1180" customWidth="1"/>
    <col min="2118" max="2331" width="9.140625" style="1180"/>
    <col min="2332" max="2332" width="2.7109375" style="1180" customWidth="1"/>
    <col min="2333" max="2333" width="38.140625" style="1180" customWidth="1"/>
    <col min="2334" max="2334" width="9.85546875" style="1180" customWidth="1"/>
    <col min="2335" max="2335" width="9.7109375" style="1180" customWidth="1"/>
    <col min="2336" max="2336" width="1.5703125" style="1180" customWidth="1"/>
    <col min="2337" max="2339" width="0" style="1180" hidden="1" customWidth="1"/>
    <col min="2340" max="2348" width="8.5703125" style="1180" customWidth="1"/>
    <col min="2349" max="2363" width="0" style="1180" hidden="1" customWidth="1"/>
    <col min="2364" max="2364" width="1.5703125" style="1180" customWidth="1"/>
    <col min="2365" max="2365" width="9.7109375" style="1180" customWidth="1"/>
    <col min="2366" max="2366" width="9.28515625" style="1180" customWidth="1"/>
    <col min="2367" max="2369" width="9.7109375" style="1180" customWidth="1"/>
    <col min="2370" max="2372" width="0" style="1180" hidden="1" customWidth="1"/>
    <col min="2373" max="2373" width="1.5703125" style="1180" customWidth="1"/>
    <col min="2374" max="2587" width="9.140625" style="1180"/>
    <col min="2588" max="2588" width="2.7109375" style="1180" customWidth="1"/>
    <col min="2589" max="2589" width="38.140625" style="1180" customWidth="1"/>
    <col min="2590" max="2590" width="9.85546875" style="1180" customWidth="1"/>
    <col min="2591" max="2591" width="9.7109375" style="1180" customWidth="1"/>
    <col min="2592" max="2592" width="1.5703125" style="1180" customWidth="1"/>
    <col min="2593" max="2595" width="0" style="1180" hidden="1" customWidth="1"/>
    <col min="2596" max="2604" width="8.5703125" style="1180" customWidth="1"/>
    <col min="2605" max="2619" width="0" style="1180" hidden="1" customWidth="1"/>
    <col min="2620" max="2620" width="1.5703125" style="1180" customWidth="1"/>
    <col min="2621" max="2621" width="9.7109375" style="1180" customWidth="1"/>
    <col min="2622" max="2622" width="9.28515625" style="1180" customWidth="1"/>
    <col min="2623" max="2625" width="9.7109375" style="1180" customWidth="1"/>
    <col min="2626" max="2628" width="0" style="1180" hidden="1" customWidth="1"/>
    <col min="2629" max="2629" width="1.5703125" style="1180" customWidth="1"/>
    <col min="2630" max="2843" width="9.140625" style="1180"/>
    <col min="2844" max="2844" width="2.7109375" style="1180" customWidth="1"/>
    <col min="2845" max="2845" width="38.140625" style="1180" customWidth="1"/>
    <col min="2846" max="2846" width="9.85546875" style="1180" customWidth="1"/>
    <col min="2847" max="2847" width="9.7109375" style="1180" customWidth="1"/>
    <col min="2848" max="2848" width="1.5703125" style="1180" customWidth="1"/>
    <col min="2849" max="2851" width="0" style="1180" hidden="1" customWidth="1"/>
    <col min="2852" max="2860" width="8.5703125" style="1180" customWidth="1"/>
    <col min="2861" max="2875" width="0" style="1180" hidden="1" customWidth="1"/>
    <col min="2876" max="2876" width="1.5703125" style="1180" customWidth="1"/>
    <col min="2877" max="2877" width="9.7109375" style="1180" customWidth="1"/>
    <col min="2878" max="2878" width="9.28515625" style="1180" customWidth="1"/>
    <col min="2879" max="2881" width="9.7109375" style="1180" customWidth="1"/>
    <col min="2882" max="2884" width="0" style="1180" hidden="1" customWidth="1"/>
    <col min="2885" max="2885" width="1.5703125" style="1180" customWidth="1"/>
    <col min="2886" max="3099" width="9.140625" style="1180"/>
    <col min="3100" max="3100" width="2.7109375" style="1180" customWidth="1"/>
    <col min="3101" max="3101" width="38.140625" style="1180" customWidth="1"/>
    <col min="3102" max="3102" width="9.85546875" style="1180" customWidth="1"/>
    <col min="3103" max="3103" width="9.7109375" style="1180" customWidth="1"/>
    <col min="3104" max="3104" width="1.5703125" style="1180" customWidth="1"/>
    <col min="3105" max="3107" width="0" style="1180" hidden="1" customWidth="1"/>
    <col min="3108" max="3116" width="8.5703125" style="1180" customWidth="1"/>
    <col min="3117" max="3131" width="0" style="1180" hidden="1" customWidth="1"/>
    <col min="3132" max="3132" width="1.5703125" style="1180" customWidth="1"/>
    <col min="3133" max="3133" width="9.7109375" style="1180" customWidth="1"/>
    <col min="3134" max="3134" width="9.28515625" style="1180" customWidth="1"/>
    <col min="3135" max="3137" width="9.7109375" style="1180" customWidth="1"/>
    <col min="3138" max="3140" width="0" style="1180" hidden="1" customWidth="1"/>
    <col min="3141" max="3141" width="1.5703125" style="1180" customWidth="1"/>
    <col min="3142" max="3355" width="9.140625" style="1180"/>
    <col min="3356" max="3356" width="2.7109375" style="1180" customWidth="1"/>
    <col min="3357" max="3357" width="38.140625" style="1180" customWidth="1"/>
    <col min="3358" max="3358" width="9.85546875" style="1180" customWidth="1"/>
    <col min="3359" max="3359" width="9.7109375" style="1180" customWidth="1"/>
    <col min="3360" max="3360" width="1.5703125" style="1180" customWidth="1"/>
    <col min="3361" max="3363" width="0" style="1180" hidden="1" customWidth="1"/>
    <col min="3364" max="3372" width="8.5703125" style="1180" customWidth="1"/>
    <col min="3373" max="3387" width="0" style="1180" hidden="1" customWidth="1"/>
    <col min="3388" max="3388" width="1.5703125" style="1180" customWidth="1"/>
    <col min="3389" max="3389" width="9.7109375" style="1180" customWidth="1"/>
    <col min="3390" max="3390" width="9.28515625" style="1180" customWidth="1"/>
    <col min="3391" max="3393" width="9.7109375" style="1180" customWidth="1"/>
    <col min="3394" max="3396" width="0" style="1180" hidden="1" customWidth="1"/>
    <col min="3397" max="3397" width="1.5703125" style="1180" customWidth="1"/>
    <col min="3398" max="3611" width="9.140625" style="1180"/>
    <col min="3612" max="3612" width="2.7109375" style="1180" customWidth="1"/>
    <col min="3613" max="3613" width="38.140625" style="1180" customWidth="1"/>
    <col min="3614" max="3614" width="9.85546875" style="1180" customWidth="1"/>
    <col min="3615" max="3615" width="9.7109375" style="1180" customWidth="1"/>
    <col min="3616" max="3616" width="1.5703125" style="1180" customWidth="1"/>
    <col min="3617" max="3619" width="0" style="1180" hidden="1" customWidth="1"/>
    <col min="3620" max="3628" width="8.5703125" style="1180" customWidth="1"/>
    <col min="3629" max="3643" width="0" style="1180" hidden="1" customWidth="1"/>
    <col min="3644" max="3644" width="1.5703125" style="1180" customWidth="1"/>
    <col min="3645" max="3645" width="9.7109375" style="1180" customWidth="1"/>
    <col min="3646" max="3646" width="9.28515625" style="1180" customWidth="1"/>
    <col min="3647" max="3649" width="9.7109375" style="1180" customWidth="1"/>
    <col min="3650" max="3652" width="0" style="1180" hidden="1" customWidth="1"/>
    <col min="3653" max="3653" width="1.5703125" style="1180" customWidth="1"/>
    <col min="3654" max="3867" width="9.140625" style="1180"/>
    <col min="3868" max="3868" width="2.7109375" style="1180" customWidth="1"/>
    <col min="3869" max="3869" width="38.140625" style="1180" customWidth="1"/>
    <col min="3870" max="3870" width="9.85546875" style="1180" customWidth="1"/>
    <col min="3871" max="3871" width="9.7109375" style="1180" customWidth="1"/>
    <col min="3872" max="3872" width="1.5703125" style="1180" customWidth="1"/>
    <col min="3873" max="3875" width="0" style="1180" hidden="1" customWidth="1"/>
    <col min="3876" max="3884" width="8.5703125" style="1180" customWidth="1"/>
    <col min="3885" max="3899" width="0" style="1180" hidden="1" customWidth="1"/>
    <col min="3900" max="3900" width="1.5703125" style="1180" customWidth="1"/>
    <col min="3901" max="3901" width="9.7109375" style="1180" customWidth="1"/>
    <col min="3902" max="3902" width="9.28515625" style="1180" customWidth="1"/>
    <col min="3903" max="3905" width="9.7109375" style="1180" customWidth="1"/>
    <col min="3906" max="3908" width="0" style="1180" hidden="1" customWidth="1"/>
    <col min="3909" max="3909" width="1.5703125" style="1180" customWidth="1"/>
    <col min="3910" max="4123" width="9.140625" style="1180"/>
    <col min="4124" max="4124" width="2.7109375" style="1180" customWidth="1"/>
    <col min="4125" max="4125" width="38.140625" style="1180" customWidth="1"/>
    <col min="4126" max="4126" width="9.85546875" style="1180" customWidth="1"/>
    <col min="4127" max="4127" width="9.7109375" style="1180" customWidth="1"/>
    <col min="4128" max="4128" width="1.5703125" style="1180" customWidth="1"/>
    <col min="4129" max="4131" width="0" style="1180" hidden="1" customWidth="1"/>
    <col min="4132" max="4140" width="8.5703125" style="1180" customWidth="1"/>
    <col min="4141" max="4155" width="0" style="1180" hidden="1" customWidth="1"/>
    <col min="4156" max="4156" width="1.5703125" style="1180" customWidth="1"/>
    <col min="4157" max="4157" width="9.7109375" style="1180" customWidth="1"/>
    <col min="4158" max="4158" width="9.28515625" style="1180" customWidth="1"/>
    <col min="4159" max="4161" width="9.7109375" style="1180" customWidth="1"/>
    <col min="4162" max="4164" width="0" style="1180" hidden="1" customWidth="1"/>
    <col min="4165" max="4165" width="1.5703125" style="1180" customWidth="1"/>
    <col min="4166" max="4379" width="9.140625" style="1180"/>
    <col min="4380" max="4380" width="2.7109375" style="1180" customWidth="1"/>
    <col min="4381" max="4381" width="38.140625" style="1180" customWidth="1"/>
    <col min="4382" max="4382" width="9.85546875" style="1180" customWidth="1"/>
    <col min="4383" max="4383" width="9.7109375" style="1180" customWidth="1"/>
    <col min="4384" max="4384" width="1.5703125" style="1180" customWidth="1"/>
    <col min="4385" max="4387" width="0" style="1180" hidden="1" customWidth="1"/>
    <col min="4388" max="4396" width="8.5703125" style="1180" customWidth="1"/>
    <col min="4397" max="4411" width="0" style="1180" hidden="1" customWidth="1"/>
    <col min="4412" max="4412" width="1.5703125" style="1180" customWidth="1"/>
    <col min="4413" max="4413" width="9.7109375" style="1180" customWidth="1"/>
    <col min="4414" max="4414" width="9.28515625" style="1180" customWidth="1"/>
    <col min="4415" max="4417" width="9.7109375" style="1180" customWidth="1"/>
    <col min="4418" max="4420" width="0" style="1180" hidden="1" customWidth="1"/>
    <col min="4421" max="4421" width="1.5703125" style="1180" customWidth="1"/>
    <col min="4422" max="4635" width="9.140625" style="1180"/>
    <col min="4636" max="4636" width="2.7109375" style="1180" customWidth="1"/>
    <col min="4637" max="4637" width="38.140625" style="1180" customWidth="1"/>
    <col min="4638" max="4638" width="9.85546875" style="1180" customWidth="1"/>
    <col min="4639" max="4639" width="9.7109375" style="1180" customWidth="1"/>
    <col min="4640" max="4640" width="1.5703125" style="1180" customWidth="1"/>
    <col min="4641" max="4643" width="0" style="1180" hidden="1" customWidth="1"/>
    <col min="4644" max="4652" width="8.5703125" style="1180" customWidth="1"/>
    <col min="4653" max="4667" width="0" style="1180" hidden="1" customWidth="1"/>
    <col min="4668" max="4668" width="1.5703125" style="1180" customWidth="1"/>
    <col min="4669" max="4669" width="9.7109375" style="1180" customWidth="1"/>
    <col min="4670" max="4670" width="9.28515625" style="1180" customWidth="1"/>
    <col min="4671" max="4673" width="9.7109375" style="1180" customWidth="1"/>
    <col min="4674" max="4676" width="0" style="1180" hidden="1" customWidth="1"/>
    <col min="4677" max="4677" width="1.5703125" style="1180" customWidth="1"/>
    <col min="4678" max="4891" width="9.140625" style="1180"/>
    <col min="4892" max="4892" width="2.7109375" style="1180" customWidth="1"/>
    <col min="4893" max="4893" width="38.140625" style="1180" customWidth="1"/>
    <col min="4894" max="4894" width="9.85546875" style="1180" customWidth="1"/>
    <col min="4895" max="4895" width="9.7109375" style="1180" customWidth="1"/>
    <col min="4896" max="4896" width="1.5703125" style="1180" customWidth="1"/>
    <col min="4897" max="4899" width="0" style="1180" hidden="1" customWidth="1"/>
    <col min="4900" max="4908" width="8.5703125" style="1180" customWidth="1"/>
    <col min="4909" max="4923" width="0" style="1180" hidden="1" customWidth="1"/>
    <col min="4924" max="4924" width="1.5703125" style="1180" customWidth="1"/>
    <col min="4925" max="4925" width="9.7109375" style="1180" customWidth="1"/>
    <col min="4926" max="4926" width="9.28515625" style="1180" customWidth="1"/>
    <col min="4927" max="4929" width="9.7109375" style="1180" customWidth="1"/>
    <col min="4930" max="4932" width="0" style="1180" hidden="1" customWidth="1"/>
    <col min="4933" max="4933" width="1.5703125" style="1180" customWidth="1"/>
    <col min="4934" max="5147" width="9.140625" style="1180"/>
    <col min="5148" max="5148" width="2.7109375" style="1180" customWidth="1"/>
    <col min="5149" max="5149" width="38.140625" style="1180" customWidth="1"/>
    <col min="5150" max="5150" width="9.85546875" style="1180" customWidth="1"/>
    <col min="5151" max="5151" width="9.7109375" style="1180" customWidth="1"/>
    <col min="5152" max="5152" width="1.5703125" style="1180" customWidth="1"/>
    <col min="5153" max="5155" width="0" style="1180" hidden="1" customWidth="1"/>
    <col min="5156" max="5164" width="8.5703125" style="1180" customWidth="1"/>
    <col min="5165" max="5179" width="0" style="1180" hidden="1" customWidth="1"/>
    <col min="5180" max="5180" width="1.5703125" style="1180" customWidth="1"/>
    <col min="5181" max="5181" width="9.7109375" style="1180" customWidth="1"/>
    <col min="5182" max="5182" width="9.28515625" style="1180" customWidth="1"/>
    <col min="5183" max="5185" width="9.7109375" style="1180" customWidth="1"/>
    <col min="5186" max="5188" width="0" style="1180" hidden="1" customWidth="1"/>
    <col min="5189" max="5189" width="1.5703125" style="1180" customWidth="1"/>
    <col min="5190" max="5403" width="9.140625" style="1180"/>
    <col min="5404" max="5404" width="2.7109375" style="1180" customWidth="1"/>
    <col min="5405" max="5405" width="38.140625" style="1180" customWidth="1"/>
    <col min="5406" max="5406" width="9.85546875" style="1180" customWidth="1"/>
    <col min="5407" max="5407" width="9.7109375" style="1180" customWidth="1"/>
    <col min="5408" max="5408" width="1.5703125" style="1180" customWidth="1"/>
    <col min="5409" max="5411" width="0" style="1180" hidden="1" customWidth="1"/>
    <col min="5412" max="5420" width="8.5703125" style="1180" customWidth="1"/>
    <col min="5421" max="5435" width="0" style="1180" hidden="1" customWidth="1"/>
    <col min="5436" max="5436" width="1.5703125" style="1180" customWidth="1"/>
    <col min="5437" max="5437" width="9.7109375" style="1180" customWidth="1"/>
    <col min="5438" max="5438" width="9.28515625" style="1180" customWidth="1"/>
    <col min="5439" max="5441" width="9.7109375" style="1180" customWidth="1"/>
    <col min="5442" max="5444" width="0" style="1180" hidden="1" customWidth="1"/>
    <col min="5445" max="5445" width="1.5703125" style="1180" customWidth="1"/>
    <col min="5446" max="5659" width="9.140625" style="1180"/>
    <col min="5660" max="5660" width="2.7109375" style="1180" customWidth="1"/>
    <col min="5661" max="5661" width="38.140625" style="1180" customWidth="1"/>
    <col min="5662" max="5662" width="9.85546875" style="1180" customWidth="1"/>
    <col min="5663" max="5663" width="9.7109375" style="1180" customWidth="1"/>
    <col min="5664" max="5664" width="1.5703125" style="1180" customWidth="1"/>
    <col min="5665" max="5667" width="0" style="1180" hidden="1" customWidth="1"/>
    <col min="5668" max="5676" width="8.5703125" style="1180" customWidth="1"/>
    <col min="5677" max="5691" width="0" style="1180" hidden="1" customWidth="1"/>
    <col min="5692" max="5692" width="1.5703125" style="1180" customWidth="1"/>
    <col min="5693" max="5693" width="9.7109375" style="1180" customWidth="1"/>
    <col min="5694" max="5694" width="9.28515625" style="1180" customWidth="1"/>
    <col min="5695" max="5697" width="9.7109375" style="1180" customWidth="1"/>
    <col min="5698" max="5700" width="0" style="1180" hidden="1" customWidth="1"/>
    <col min="5701" max="5701" width="1.5703125" style="1180" customWidth="1"/>
    <col min="5702" max="5915" width="9.140625" style="1180"/>
    <col min="5916" max="5916" width="2.7109375" style="1180" customWidth="1"/>
    <col min="5917" max="5917" width="38.140625" style="1180" customWidth="1"/>
    <col min="5918" max="5918" width="9.85546875" style="1180" customWidth="1"/>
    <col min="5919" max="5919" width="9.7109375" style="1180" customWidth="1"/>
    <col min="5920" max="5920" width="1.5703125" style="1180" customWidth="1"/>
    <col min="5921" max="5923" width="0" style="1180" hidden="1" customWidth="1"/>
    <col min="5924" max="5932" width="8.5703125" style="1180" customWidth="1"/>
    <col min="5933" max="5947" width="0" style="1180" hidden="1" customWidth="1"/>
    <col min="5948" max="5948" width="1.5703125" style="1180" customWidth="1"/>
    <col min="5949" max="5949" width="9.7109375" style="1180" customWidth="1"/>
    <col min="5950" max="5950" width="9.28515625" style="1180" customWidth="1"/>
    <col min="5951" max="5953" width="9.7109375" style="1180" customWidth="1"/>
    <col min="5954" max="5956" width="0" style="1180" hidden="1" customWidth="1"/>
    <col min="5957" max="5957" width="1.5703125" style="1180" customWidth="1"/>
    <col min="5958" max="6171" width="9.140625" style="1180"/>
    <col min="6172" max="6172" width="2.7109375" style="1180" customWidth="1"/>
    <col min="6173" max="6173" width="38.140625" style="1180" customWidth="1"/>
    <col min="6174" max="6174" width="9.85546875" style="1180" customWidth="1"/>
    <col min="6175" max="6175" width="9.7109375" style="1180" customWidth="1"/>
    <col min="6176" max="6176" width="1.5703125" style="1180" customWidth="1"/>
    <col min="6177" max="6179" width="0" style="1180" hidden="1" customWidth="1"/>
    <col min="6180" max="6188" width="8.5703125" style="1180" customWidth="1"/>
    <col min="6189" max="6203" width="0" style="1180" hidden="1" customWidth="1"/>
    <col min="6204" max="6204" width="1.5703125" style="1180" customWidth="1"/>
    <col min="6205" max="6205" width="9.7109375" style="1180" customWidth="1"/>
    <col min="6206" max="6206" width="9.28515625" style="1180" customWidth="1"/>
    <col min="6207" max="6209" width="9.7109375" style="1180" customWidth="1"/>
    <col min="6210" max="6212" width="0" style="1180" hidden="1" customWidth="1"/>
    <col min="6213" max="6213" width="1.5703125" style="1180" customWidth="1"/>
    <col min="6214" max="6427" width="9.140625" style="1180"/>
    <col min="6428" max="6428" width="2.7109375" style="1180" customWidth="1"/>
    <col min="6429" max="6429" width="38.140625" style="1180" customWidth="1"/>
    <col min="6430" max="6430" width="9.85546875" style="1180" customWidth="1"/>
    <col min="6431" max="6431" width="9.7109375" style="1180" customWidth="1"/>
    <col min="6432" max="6432" width="1.5703125" style="1180" customWidth="1"/>
    <col min="6433" max="6435" width="0" style="1180" hidden="1" customWidth="1"/>
    <col min="6436" max="6444" width="8.5703125" style="1180" customWidth="1"/>
    <col min="6445" max="6459" width="0" style="1180" hidden="1" customWidth="1"/>
    <col min="6460" max="6460" width="1.5703125" style="1180" customWidth="1"/>
    <col min="6461" max="6461" width="9.7109375" style="1180" customWidth="1"/>
    <col min="6462" max="6462" width="9.28515625" style="1180" customWidth="1"/>
    <col min="6463" max="6465" width="9.7109375" style="1180" customWidth="1"/>
    <col min="6466" max="6468" width="0" style="1180" hidden="1" customWidth="1"/>
    <col min="6469" max="6469" width="1.5703125" style="1180" customWidth="1"/>
    <col min="6470" max="6683" width="9.140625" style="1180"/>
    <col min="6684" max="6684" width="2.7109375" style="1180" customWidth="1"/>
    <col min="6685" max="6685" width="38.140625" style="1180" customWidth="1"/>
    <col min="6686" max="6686" width="9.85546875" style="1180" customWidth="1"/>
    <col min="6687" max="6687" width="9.7109375" style="1180" customWidth="1"/>
    <col min="6688" max="6688" width="1.5703125" style="1180" customWidth="1"/>
    <col min="6689" max="6691" width="0" style="1180" hidden="1" customWidth="1"/>
    <col min="6692" max="6700" width="8.5703125" style="1180" customWidth="1"/>
    <col min="6701" max="6715" width="0" style="1180" hidden="1" customWidth="1"/>
    <col min="6716" max="6716" width="1.5703125" style="1180" customWidth="1"/>
    <col min="6717" max="6717" width="9.7109375" style="1180" customWidth="1"/>
    <col min="6718" max="6718" width="9.28515625" style="1180" customWidth="1"/>
    <col min="6719" max="6721" width="9.7109375" style="1180" customWidth="1"/>
    <col min="6722" max="6724" width="0" style="1180" hidden="1" customWidth="1"/>
    <col min="6725" max="6725" width="1.5703125" style="1180" customWidth="1"/>
    <col min="6726" max="6939" width="9.140625" style="1180"/>
    <col min="6940" max="6940" width="2.7109375" style="1180" customWidth="1"/>
    <col min="6941" max="6941" width="38.140625" style="1180" customWidth="1"/>
    <col min="6942" max="6942" width="9.85546875" style="1180" customWidth="1"/>
    <col min="6943" max="6943" width="9.7109375" style="1180" customWidth="1"/>
    <col min="6944" max="6944" width="1.5703125" style="1180" customWidth="1"/>
    <col min="6945" max="6947" width="0" style="1180" hidden="1" customWidth="1"/>
    <col min="6948" max="6956" width="8.5703125" style="1180" customWidth="1"/>
    <col min="6957" max="6971" width="0" style="1180" hidden="1" customWidth="1"/>
    <col min="6972" max="6972" width="1.5703125" style="1180" customWidth="1"/>
    <col min="6973" max="6973" width="9.7109375" style="1180" customWidth="1"/>
    <col min="6974" max="6974" width="9.28515625" style="1180" customWidth="1"/>
    <col min="6975" max="6977" width="9.7109375" style="1180" customWidth="1"/>
    <col min="6978" max="6980" width="0" style="1180" hidden="1" customWidth="1"/>
    <col min="6981" max="6981" width="1.5703125" style="1180" customWidth="1"/>
    <col min="6982" max="7195" width="9.140625" style="1180"/>
    <col min="7196" max="7196" width="2.7109375" style="1180" customWidth="1"/>
    <col min="7197" max="7197" width="38.140625" style="1180" customWidth="1"/>
    <col min="7198" max="7198" width="9.85546875" style="1180" customWidth="1"/>
    <col min="7199" max="7199" width="9.7109375" style="1180" customWidth="1"/>
    <col min="7200" max="7200" width="1.5703125" style="1180" customWidth="1"/>
    <col min="7201" max="7203" width="0" style="1180" hidden="1" customWidth="1"/>
    <col min="7204" max="7212" width="8.5703125" style="1180" customWidth="1"/>
    <col min="7213" max="7227" width="0" style="1180" hidden="1" customWidth="1"/>
    <col min="7228" max="7228" width="1.5703125" style="1180" customWidth="1"/>
    <col min="7229" max="7229" width="9.7109375" style="1180" customWidth="1"/>
    <col min="7230" max="7230" width="9.28515625" style="1180" customWidth="1"/>
    <col min="7231" max="7233" width="9.7109375" style="1180" customWidth="1"/>
    <col min="7234" max="7236" width="0" style="1180" hidden="1" customWidth="1"/>
    <col min="7237" max="7237" width="1.5703125" style="1180" customWidth="1"/>
    <col min="7238" max="7451" width="9.140625" style="1180"/>
    <col min="7452" max="7452" width="2.7109375" style="1180" customWidth="1"/>
    <col min="7453" max="7453" width="38.140625" style="1180" customWidth="1"/>
    <col min="7454" max="7454" width="9.85546875" style="1180" customWidth="1"/>
    <col min="7455" max="7455" width="9.7109375" style="1180" customWidth="1"/>
    <col min="7456" max="7456" width="1.5703125" style="1180" customWidth="1"/>
    <col min="7457" max="7459" width="0" style="1180" hidden="1" customWidth="1"/>
    <col min="7460" max="7468" width="8.5703125" style="1180" customWidth="1"/>
    <col min="7469" max="7483" width="0" style="1180" hidden="1" customWidth="1"/>
    <col min="7484" max="7484" width="1.5703125" style="1180" customWidth="1"/>
    <col min="7485" max="7485" width="9.7109375" style="1180" customWidth="1"/>
    <col min="7486" max="7486" width="9.28515625" style="1180" customWidth="1"/>
    <col min="7487" max="7489" width="9.7109375" style="1180" customWidth="1"/>
    <col min="7490" max="7492" width="0" style="1180" hidden="1" customWidth="1"/>
    <col min="7493" max="7493" width="1.5703125" style="1180" customWidth="1"/>
    <col min="7494" max="7707" width="9.140625" style="1180"/>
    <col min="7708" max="7708" width="2.7109375" style="1180" customWidth="1"/>
    <col min="7709" max="7709" width="38.140625" style="1180" customWidth="1"/>
    <col min="7710" max="7710" width="9.85546875" style="1180" customWidth="1"/>
    <col min="7711" max="7711" width="9.7109375" style="1180" customWidth="1"/>
    <col min="7712" max="7712" width="1.5703125" style="1180" customWidth="1"/>
    <col min="7713" max="7715" width="0" style="1180" hidden="1" customWidth="1"/>
    <col min="7716" max="7724" width="8.5703125" style="1180" customWidth="1"/>
    <col min="7725" max="7739" width="0" style="1180" hidden="1" customWidth="1"/>
    <col min="7740" max="7740" width="1.5703125" style="1180" customWidth="1"/>
    <col min="7741" max="7741" width="9.7109375" style="1180" customWidth="1"/>
    <col min="7742" max="7742" width="9.28515625" style="1180" customWidth="1"/>
    <col min="7743" max="7745" width="9.7109375" style="1180" customWidth="1"/>
    <col min="7746" max="7748" width="0" style="1180" hidden="1" customWidth="1"/>
    <col min="7749" max="7749" width="1.5703125" style="1180" customWidth="1"/>
    <col min="7750" max="7963" width="9.140625" style="1180"/>
    <col min="7964" max="7964" width="2.7109375" style="1180" customWidth="1"/>
    <col min="7965" max="7965" width="38.140625" style="1180" customWidth="1"/>
    <col min="7966" max="7966" width="9.85546875" style="1180" customWidth="1"/>
    <col min="7967" max="7967" width="9.7109375" style="1180" customWidth="1"/>
    <col min="7968" max="7968" width="1.5703125" style="1180" customWidth="1"/>
    <col min="7969" max="7971" width="0" style="1180" hidden="1" customWidth="1"/>
    <col min="7972" max="7980" width="8.5703125" style="1180" customWidth="1"/>
    <col min="7981" max="7995" width="0" style="1180" hidden="1" customWidth="1"/>
    <col min="7996" max="7996" width="1.5703125" style="1180" customWidth="1"/>
    <col min="7997" max="7997" width="9.7109375" style="1180" customWidth="1"/>
    <col min="7998" max="7998" width="9.28515625" style="1180" customWidth="1"/>
    <col min="7999" max="8001" width="9.7109375" style="1180" customWidth="1"/>
    <col min="8002" max="8004" width="0" style="1180" hidden="1" customWidth="1"/>
    <col min="8005" max="8005" width="1.5703125" style="1180" customWidth="1"/>
    <col min="8006" max="8219" width="9.140625" style="1180"/>
    <col min="8220" max="8220" width="2.7109375" style="1180" customWidth="1"/>
    <col min="8221" max="8221" width="38.140625" style="1180" customWidth="1"/>
    <col min="8222" max="8222" width="9.85546875" style="1180" customWidth="1"/>
    <col min="8223" max="8223" width="9.7109375" style="1180" customWidth="1"/>
    <col min="8224" max="8224" width="1.5703125" style="1180" customWidth="1"/>
    <col min="8225" max="8227" width="0" style="1180" hidden="1" customWidth="1"/>
    <col min="8228" max="8236" width="8.5703125" style="1180" customWidth="1"/>
    <col min="8237" max="8251" width="0" style="1180" hidden="1" customWidth="1"/>
    <col min="8252" max="8252" width="1.5703125" style="1180" customWidth="1"/>
    <col min="8253" max="8253" width="9.7109375" style="1180" customWidth="1"/>
    <col min="8254" max="8254" width="9.28515625" style="1180" customWidth="1"/>
    <col min="8255" max="8257" width="9.7109375" style="1180" customWidth="1"/>
    <col min="8258" max="8260" width="0" style="1180" hidden="1" customWidth="1"/>
    <col min="8261" max="8261" width="1.5703125" style="1180" customWidth="1"/>
    <col min="8262" max="8475" width="9.140625" style="1180"/>
    <col min="8476" max="8476" width="2.7109375" style="1180" customWidth="1"/>
    <col min="8477" max="8477" width="38.140625" style="1180" customWidth="1"/>
    <col min="8478" max="8478" width="9.85546875" style="1180" customWidth="1"/>
    <col min="8479" max="8479" width="9.7109375" style="1180" customWidth="1"/>
    <col min="8480" max="8480" width="1.5703125" style="1180" customWidth="1"/>
    <col min="8481" max="8483" width="0" style="1180" hidden="1" customWidth="1"/>
    <col min="8484" max="8492" width="8.5703125" style="1180" customWidth="1"/>
    <col min="8493" max="8507" width="0" style="1180" hidden="1" customWidth="1"/>
    <col min="8508" max="8508" width="1.5703125" style="1180" customWidth="1"/>
    <col min="8509" max="8509" width="9.7109375" style="1180" customWidth="1"/>
    <col min="8510" max="8510" width="9.28515625" style="1180" customWidth="1"/>
    <col min="8511" max="8513" width="9.7109375" style="1180" customWidth="1"/>
    <col min="8514" max="8516" width="0" style="1180" hidden="1" customWidth="1"/>
    <col min="8517" max="8517" width="1.5703125" style="1180" customWidth="1"/>
    <col min="8518" max="8731" width="9.140625" style="1180"/>
    <col min="8732" max="8732" width="2.7109375" style="1180" customWidth="1"/>
    <col min="8733" max="8733" width="38.140625" style="1180" customWidth="1"/>
    <col min="8734" max="8734" width="9.85546875" style="1180" customWidth="1"/>
    <col min="8735" max="8735" width="9.7109375" style="1180" customWidth="1"/>
    <col min="8736" max="8736" width="1.5703125" style="1180" customWidth="1"/>
    <col min="8737" max="8739" width="0" style="1180" hidden="1" customWidth="1"/>
    <col min="8740" max="8748" width="8.5703125" style="1180" customWidth="1"/>
    <col min="8749" max="8763" width="0" style="1180" hidden="1" customWidth="1"/>
    <col min="8764" max="8764" width="1.5703125" style="1180" customWidth="1"/>
    <col min="8765" max="8765" width="9.7109375" style="1180" customWidth="1"/>
    <col min="8766" max="8766" width="9.28515625" style="1180" customWidth="1"/>
    <col min="8767" max="8769" width="9.7109375" style="1180" customWidth="1"/>
    <col min="8770" max="8772" width="0" style="1180" hidden="1" customWidth="1"/>
    <col min="8773" max="8773" width="1.5703125" style="1180" customWidth="1"/>
    <col min="8774" max="8987" width="9.140625" style="1180"/>
    <col min="8988" max="8988" width="2.7109375" style="1180" customWidth="1"/>
    <col min="8989" max="8989" width="38.140625" style="1180" customWidth="1"/>
    <col min="8990" max="8990" width="9.85546875" style="1180" customWidth="1"/>
    <col min="8991" max="8991" width="9.7109375" style="1180" customWidth="1"/>
    <col min="8992" max="8992" width="1.5703125" style="1180" customWidth="1"/>
    <col min="8993" max="8995" width="0" style="1180" hidden="1" customWidth="1"/>
    <col min="8996" max="9004" width="8.5703125" style="1180" customWidth="1"/>
    <col min="9005" max="9019" width="0" style="1180" hidden="1" customWidth="1"/>
    <col min="9020" max="9020" width="1.5703125" style="1180" customWidth="1"/>
    <col min="9021" max="9021" width="9.7109375" style="1180" customWidth="1"/>
    <col min="9022" max="9022" width="9.28515625" style="1180" customWidth="1"/>
    <col min="9023" max="9025" width="9.7109375" style="1180" customWidth="1"/>
    <col min="9026" max="9028" width="0" style="1180" hidden="1" customWidth="1"/>
    <col min="9029" max="9029" width="1.5703125" style="1180" customWidth="1"/>
    <col min="9030" max="9243" width="9.140625" style="1180"/>
    <col min="9244" max="9244" width="2.7109375" style="1180" customWidth="1"/>
    <col min="9245" max="9245" width="38.140625" style="1180" customWidth="1"/>
    <col min="9246" max="9246" width="9.85546875" style="1180" customWidth="1"/>
    <col min="9247" max="9247" width="9.7109375" style="1180" customWidth="1"/>
    <col min="9248" max="9248" width="1.5703125" style="1180" customWidth="1"/>
    <col min="9249" max="9251" width="0" style="1180" hidden="1" customWidth="1"/>
    <col min="9252" max="9260" width="8.5703125" style="1180" customWidth="1"/>
    <col min="9261" max="9275" width="0" style="1180" hidden="1" customWidth="1"/>
    <col min="9276" max="9276" width="1.5703125" style="1180" customWidth="1"/>
    <col min="9277" max="9277" width="9.7109375" style="1180" customWidth="1"/>
    <col min="9278" max="9278" width="9.28515625" style="1180" customWidth="1"/>
    <col min="9279" max="9281" width="9.7109375" style="1180" customWidth="1"/>
    <col min="9282" max="9284" width="0" style="1180" hidden="1" customWidth="1"/>
    <col min="9285" max="9285" width="1.5703125" style="1180" customWidth="1"/>
    <col min="9286" max="9499" width="9.140625" style="1180"/>
    <col min="9500" max="9500" width="2.7109375" style="1180" customWidth="1"/>
    <col min="9501" max="9501" width="38.140625" style="1180" customWidth="1"/>
    <col min="9502" max="9502" width="9.85546875" style="1180" customWidth="1"/>
    <col min="9503" max="9503" width="9.7109375" style="1180" customWidth="1"/>
    <col min="9504" max="9504" width="1.5703125" style="1180" customWidth="1"/>
    <col min="9505" max="9507" width="0" style="1180" hidden="1" customWidth="1"/>
    <col min="9508" max="9516" width="8.5703125" style="1180" customWidth="1"/>
    <col min="9517" max="9531" width="0" style="1180" hidden="1" customWidth="1"/>
    <col min="9532" max="9532" width="1.5703125" style="1180" customWidth="1"/>
    <col min="9533" max="9533" width="9.7109375" style="1180" customWidth="1"/>
    <col min="9534" max="9534" width="9.28515625" style="1180" customWidth="1"/>
    <col min="9535" max="9537" width="9.7109375" style="1180" customWidth="1"/>
    <col min="9538" max="9540" width="0" style="1180" hidden="1" customWidth="1"/>
    <col min="9541" max="9541" width="1.5703125" style="1180" customWidth="1"/>
    <col min="9542" max="9755" width="9.140625" style="1180"/>
    <col min="9756" max="9756" width="2.7109375" style="1180" customWidth="1"/>
    <col min="9757" max="9757" width="38.140625" style="1180" customWidth="1"/>
    <col min="9758" max="9758" width="9.85546875" style="1180" customWidth="1"/>
    <col min="9759" max="9759" width="9.7109375" style="1180" customWidth="1"/>
    <col min="9760" max="9760" width="1.5703125" style="1180" customWidth="1"/>
    <col min="9761" max="9763" width="0" style="1180" hidden="1" customWidth="1"/>
    <col min="9764" max="9772" width="8.5703125" style="1180" customWidth="1"/>
    <col min="9773" max="9787" width="0" style="1180" hidden="1" customWidth="1"/>
    <col min="9788" max="9788" width="1.5703125" style="1180" customWidth="1"/>
    <col min="9789" max="9789" width="9.7109375" style="1180" customWidth="1"/>
    <col min="9790" max="9790" width="9.28515625" style="1180" customWidth="1"/>
    <col min="9791" max="9793" width="9.7109375" style="1180" customWidth="1"/>
    <col min="9794" max="9796" width="0" style="1180" hidden="1" customWidth="1"/>
    <col min="9797" max="9797" width="1.5703125" style="1180" customWidth="1"/>
    <col min="9798" max="10011" width="9.140625" style="1180"/>
    <col min="10012" max="10012" width="2.7109375" style="1180" customWidth="1"/>
    <col min="10013" max="10013" width="38.140625" style="1180" customWidth="1"/>
    <col min="10014" max="10014" width="9.85546875" style="1180" customWidth="1"/>
    <col min="10015" max="10015" width="9.7109375" style="1180" customWidth="1"/>
    <col min="10016" max="10016" width="1.5703125" style="1180" customWidth="1"/>
    <col min="10017" max="10019" width="0" style="1180" hidden="1" customWidth="1"/>
    <col min="10020" max="10028" width="8.5703125" style="1180" customWidth="1"/>
    <col min="10029" max="10043" width="0" style="1180" hidden="1" customWidth="1"/>
    <col min="10044" max="10044" width="1.5703125" style="1180" customWidth="1"/>
    <col min="10045" max="10045" width="9.7109375" style="1180" customWidth="1"/>
    <col min="10046" max="10046" width="9.28515625" style="1180" customWidth="1"/>
    <col min="10047" max="10049" width="9.7109375" style="1180" customWidth="1"/>
    <col min="10050" max="10052" width="0" style="1180" hidden="1" customWidth="1"/>
    <col min="10053" max="10053" width="1.5703125" style="1180" customWidth="1"/>
    <col min="10054" max="10267" width="9.140625" style="1180"/>
    <col min="10268" max="10268" width="2.7109375" style="1180" customWidth="1"/>
    <col min="10269" max="10269" width="38.140625" style="1180" customWidth="1"/>
    <col min="10270" max="10270" width="9.85546875" style="1180" customWidth="1"/>
    <col min="10271" max="10271" width="9.7109375" style="1180" customWidth="1"/>
    <col min="10272" max="10272" width="1.5703125" style="1180" customWidth="1"/>
    <col min="10273" max="10275" width="0" style="1180" hidden="1" customWidth="1"/>
    <col min="10276" max="10284" width="8.5703125" style="1180" customWidth="1"/>
    <col min="10285" max="10299" width="0" style="1180" hidden="1" customWidth="1"/>
    <col min="10300" max="10300" width="1.5703125" style="1180" customWidth="1"/>
    <col min="10301" max="10301" width="9.7109375" style="1180" customWidth="1"/>
    <col min="10302" max="10302" width="9.28515625" style="1180" customWidth="1"/>
    <col min="10303" max="10305" width="9.7109375" style="1180" customWidth="1"/>
    <col min="10306" max="10308" width="0" style="1180" hidden="1" customWidth="1"/>
    <col min="10309" max="10309" width="1.5703125" style="1180" customWidth="1"/>
    <col min="10310" max="10523" width="9.140625" style="1180"/>
    <col min="10524" max="10524" width="2.7109375" style="1180" customWidth="1"/>
    <col min="10525" max="10525" width="38.140625" style="1180" customWidth="1"/>
    <col min="10526" max="10526" width="9.85546875" style="1180" customWidth="1"/>
    <col min="10527" max="10527" width="9.7109375" style="1180" customWidth="1"/>
    <col min="10528" max="10528" width="1.5703125" style="1180" customWidth="1"/>
    <col min="10529" max="10531" width="0" style="1180" hidden="1" customWidth="1"/>
    <col min="10532" max="10540" width="8.5703125" style="1180" customWidth="1"/>
    <col min="10541" max="10555" width="0" style="1180" hidden="1" customWidth="1"/>
    <col min="10556" max="10556" width="1.5703125" style="1180" customWidth="1"/>
    <col min="10557" max="10557" width="9.7109375" style="1180" customWidth="1"/>
    <col min="10558" max="10558" width="9.28515625" style="1180" customWidth="1"/>
    <col min="10559" max="10561" width="9.7109375" style="1180" customWidth="1"/>
    <col min="10562" max="10564" width="0" style="1180" hidden="1" customWidth="1"/>
    <col min="10565" max="10565" width="1.5703125" style="1180" customWidth="1"/>
    <col min="10566" max="10779" width="9.140625" style="1180"/>
    <col min="10780" max="10780" width="2.7109375" style="1180" customWidth="1"/>
    <col min="10781" max="10781" width="38.140625" style="1180" customWidth="1"/>
    <col min="10782" max="10782" width="9.85546875" style="1180" customWidth="1"/>
    <col min="10783" max="10783" width="9.7109375" style="1180" customWidth="1"/>
    <col min="10784" max="10784" width="1.5703125" style="1180" customWidth="1"/>
    <col min="10785" max="10787" width="0" style="1180" hidden="1" customWidth="1"/>
    <col min="10788" max="10796" width="8.5703125" style="1180" customWidth="1"/>
    <col min="10797" max="10811" width="0" style="1180" hidden="1" customWidth="1"/>
    <col min="10812" max="10812" width="1.5703125" style="1180" customWidth="1"/>
    <col min="10813" max="10813" width="9.7109375" style="1180" customWidth="1"/>
    <col min="10814" max="10814" width="9.28515625" style="1180" customWidth="1"/>
    <col min="10815" max="10817" width="9.7109375" style="1180" customWidth="1"/>
    <col min="10818" max="10820" width="0" style="1180" hidden="1" customWidth="1"/>
    <col min="10821" max="10821" width="1.5703125" style="1180" customWidth="1"/>
    <col min="10822" max="11035" width="9.140625" style="1180"/>
    <col min="11036" max="11036" width="2.7109375" style="1180" customWidth="1"/>
    <col min="11037" max="11037" width="38.140625" style="1180" customWidth="1"/>
    <col min="11038" max="11038" width="9.85546875" style="1180" customWidth="1"/>
    <col min="11039" max="11039" width="9.7109375" style="1180" customWidth="1"/>
    <col min="11040" max="11040" width="1.5703125" style="1180" customWidth="1"/>
    <col min="11041" max="11043" width="0" style="1180" hidden="1" customWidth="1"/>
    <col min="11044" max="11052" width="8.5703125" style="1180" customWidth="1"/>
    <col min="11053" max="11067" width="0" style="1180" hidden="1" customWidth="1"/>
    <col min="11068" max="11068" width="1.5703125" style="1180" customWidth="1"/>
    <col min="11069" max="11069" width="9.7109375" style="1180" customWidth="1"/>
    <col min="11070" max="11070" width="9.28515625" style="1180" customWidth="1"/>
    <col min="11071" max="11073" width="9.7109375" style="1180" customWidth="1"/>
    <col min="11074" max="11076" width="0" style="1180" hidden="1" customWidth="1"/>
    <col min="11077" max="11077" width="1.5703125" style="1180" customWidth="1"/>
    <col min="11078" max="11291" width="9.140625" style="1180"/>
    <col min="11292" max="11292" width="2.7109375" style="1180" customWidth="1"/>
    <col min="11293" max="11293" width="38.140625" style="1180" customWidth="1"/>
    <col min="11294" max="11294" width="9.85546875" style="1180" customWidth="1"/>
    <col min="11295" max="11295" width="9.7109375" style="1180" customWidth="1"/>
    <col min="11296" max="11296" width="1.5703125" style="1180" customWidth="1"/>
    <col min="11297" max="11299" width="0" style="1180" hidden="1" customWidth="1"/>
    <col min="11300" max="11308" width="8.5703125" style="1180" customWidth="1"/>
    <col min="11309" max="11323" width="0" style="1180" hidden="1" customWidth="1"/>
    <col min="11324" max="11324" width="1.5703125" style="1180" customWidth="1"/>
    <col min="11325" max="11325" width="9.7109375" style="1180" customWidth="1"/>
    <col min="11326" max="11326" width="9.28515625" style="1180" customWidth="1"/>
    <col min="11327" max="11329" width="9.7109375" style="1180" customWidth="1"/>
    <col min="11330" max="11332" width="0" style="1180" hidden="1" customWidth="1"/>
    <col min="11333" max="11333" width="1.5703125" style="1180" customWidth="1"/>
    <col min="11334" max="11547" width="9.140625" style="1180"/>
    <col min="11548" max="11548" width="2.7109375" style="1180" customWidth="1"/>
    <col min="11549" max="11549" width="38.140625" style="1180" customWidth="1"/>
    <col min="11550" max="11550" width="9.85546875" style="1180" customWidth="1"/>
    <col min="11551" max="11551" width="9.7109375" style="1180" customWidth="1"/>
    <col min="11552" max="11552" width="1.5703125" style="1180" customWidth="1"/>
    <col min="11553" max="11555" width="0" style="1180" hidden="1" customWidth="1"/>
    <col min="11556" max="11564" width="8.5703125" style="1180" customWidth="1"/>
    <col min="11565" max="11579" width="0" style="1180" hidden="1" customWidth="1"/>
    <col min="11580" max="11580" width="1.5703125" style="1180" customWidth="1"/>
    <col min="11581" max="11581" width="9.7109375" style="1180" customWidth="1"/>
    <col min="11582" max="11582" width="9.28515625" style="1180" customWidth="1"/>
    <col min="11583" max="11585" width="9.7109375" style="1180" customWidth="1"/>
    <col min="11586" max="11588" width="0" style="1180" hidden="1" customWidth="1"/>
    <col min="11589" max="11589" width="1.5703125" style="1180" customWidth="1"/>
    <col min="11590" max="11803" width="9.140625" style="1180"/>
    <col min="11804" max="11804" width="2.7109375" style="1180" customWidth="1"/>
    <col min="11805" max="11805" width="38.140625" style="1180" customWidth="1"/>
    <col min="11806" max="11806" width="9.85546875" style="1180" customWidth="1"/>
    <col min="11807" max="11807" width="9.7109375" style="1180" customWidth="1"/>
    <col min="11808" max="11808" width="1.5703125" style="1180" customWidth="1"/>
    <col min="11809" max="11811" width="0" style="1180" hidden="1" customWidth="1"/>
    <col min="11812" max="11820" width="8.5703125" style="1180" customWidth="1"/>
    <col min="11821" max="11835" width="0" style="1180" hidden="1" customWidth="1"/>
    <col min="11836" max="11836" width="1.5703125" style="1180" customWidth="1"/>
    <col min="11837" max="11837" width="9.7109375" style="1180" customWidth="1"/>
    <col min="11838" max="11838" width="9.28515625" style="1180" customWidth="1"/>
    <col min="11839" max="11841" width="9.7109375" style="1180" customWidth="1"/>
    <col min="11842" max="11844" width="0" style="1180" hidden="1" customWidth="1"/>
    <col min="11845" max="11845" width="1.5703125" style="1180" customWidth="1"/>
    <col min="11846" max="12059" width="9.140625" style="1180"/>
    <col min="12060" max="12060" width="2.7109375" style="1180" customWidth="1"/>
    <col min="12061" max="12061" width="38.140625" style="1180" customWidth="1"/>
    <col min="12062" max="12062" width="9.85546875" style="1180" customWidth="1"/>
    <col min="12063" max="12063" width="9.7109375" style="1180" customWidth="1"/>
    <col min="12064" max="12064" width="1.5703125" style="1180" customWidth="1"/>
    <col min="12065" max="12067" width="0" style="1180" hidden="1" customWidth="1"/>
    <col min="12068" max="12076" width="8.5703125" style="1180" customWidth="1"/>
    <col min="12077" max="12091" width="0" style="1180" hidden="1" customWidth="1"/>
    <col min="12092" max="12092" width="1.5703125" style="1180" customWidth="1"/>
    <col min="12093" max="12093" width="9.7109375" style="1180" customWidth="1"/>
    <col min="12094" max="12094" width="9.28515625" style="1180" customWidth="1"/>
    <col min="12095" max="12097" width="9.7109375" style="1180" customWidth="1"/>
    <col min="12098" max="12100" width="0" style="1180" hidden="1" customWidth="1"/>
    <col min="12101" max="12101" width="1.5703125" style="1180" customWidth="1"/>
    <col min="12102" max="12315" width="9.140625" style="1180"/>
    <col min="12316" max="12316" width="2.7109375" style="1180" customWidth="1"/>
    <col min="12317" max="12317" width="38.140625" style="1180" customWidth="1"/>
    <col min="12318" max="12318" width="9.85546875" style="1180" customWidth="1"/>
    <col min="12319" max="12319" width="9.7109375" style="1180" customWidth="1"/>
    <col min="12320" max="12320" width="1.5703125" style="1180" customWidth="1"/>
    <col min="12321" max="12323" width="0" style="1180" hidden="1" customWidth="1"/>
    <col min="12324" max="12332" width="8.5703125" style="1180" customWidth="1"/>
    <col min="12333" max="12347" width="0" style="1180" hidden="1" customWidth="1"/>
    <col min="12348" max="12348" width="1.5703125" style="1180" customWidth="1"/>
    <col min="12349" max="12349" width="9.7109375" style="1180" customWidth="1"/>
    <col min="12350" max="12350" width="9.28515625" style="1180" customWidth="1"/>
    <col min="12351" max="12353" width="9.7109375" style="1180" customWidth="1"/>
    <col min="12354" max="12356" width="0" style="1180" hidden="1" customWidth="1"/>
    <col min="12357" max="12357" width="1.5703125" style="1180" customWidth="1"/>
    <col min="12358" max="12571" width="9.140625" style="1180"/>
    <col min="12572" max="12572" width="2.7109375" style="1180" customWidth="1"/>
    <col min="12573" max="12573" width="38.140625" style="1180" customWidth="1"/>
    <col min="12574" max="12574" width="9.85546875" style="1180" customWidth="1"/>
    <col min="12575" max="12575" width="9.7109375" style="1180" customWidth="1"/>
    <col min="12576" max="12576" width="1.5703125" style="1180" customWidth="1"/>
    <col min="12577" max="12579" width="0" style="1180" hidden="1" customWidth="1"/>
    <col min="12580" max="12588" width="8.5703125" style="1180" customWidth="1"/>
    <col min="12589" max="12603" width="0" style="1180" hidden="1" customWidth="1"/>
    <col min="12604" max="12604" width="1.5703125" style="1180" customWidth="1"/>
    <col min="12605" max="12605" width="9.7109375" style="1180" customWidth="1"/>
    <col min="12606" max="12606" width="9.28515625" style="1180" customWidth="1"/>
    <col min="12607" max="12609" width="9.7109375" style="1180" customWidth="1"/>
    <col min="12610" max="12612" width="0" style="1180" hidden="1" customWidth="1"/>
    <col min="12613" max="12613" width="1.5703125" style="1180" customWidth="1"/>
    <col min="12614" max="12827" width="9.140625" style="1180"/>
    <col min="12828" max="12828" width="2.7109375" style="1180" customWidth="1"/>
    <col min="12829" max="12829" width="38.140625" style="1180" customWidth="1"/>
    <col min="12830" max="12830" width="9.85546875" style="1180" customWidth="1"/>
    <col min="12831" max="12831" width="9.7109375" style="1180" customWidth="1"/>
    <col min="12832" max="12832" width="1.5703125" style="1180" customWidth="1"/>
    <col min="12833" max="12835" width="0" style="1180" hidden="1" customWidth="1"/>
    <col min="12836" max="12844" width="8.5703125" style="1180" customWidth="1"/>
    <col min="12845" max="12859" width="0" style="1180" hidden="1" customWidth="1"/>
    <col min="12860" max="12860" width="1.5703125" style="1180" customWidth="1"/>
    <col min="12861" max="12861" width="9.7109375" style="1180" customWidth="1"/>
    <col min="12862" max="12862" width="9.28515625" style="1180" customWidth="1"/>
    <col min="12863" max="12865" width="9.7109375" style="1180" customWidth="1"/>
    <col min="12866" max="12868" width="0" style="1180" hidden="1" customWidth="1"/>
    <col min="12869" max="12869" width="1.5703125" style="1180" customWidth="1"/>
    <col min="12870" max="13083" width="9.140625" style="1180"/>
    <col min="13084" max="13084" width="2.7109375" style="1180" customWidth="1"/>
    <col min="13085" max="13085" width="38.140625" style="1180" customWidth="1"/>
    <col min="13086" max="13086" width="9.85546875" style="1180" customWidth="1"/>
    <col min="13087" max="13087" width="9.7109375" style="1180" customWidth="1"/>
    <col min="13088" max="13088" width="1.5703125" style="1180" customWidth="1"/>
    <col min="13089" max="13091" width="0" style="1180" hidden="1" customWidth="1"/>
    <col min="13092" max="13100" width="8.5703125" style="1180" customWidth="1"/>
    <col min="13101" max="13115" width="0" style="1180" hidden="1" customWidth="1"/>
    <col min="13116" max="13116" width="1.5703125" style="1180" customWidth="1"/>
    <col min="13117" max="13117" width="9.7109375" style="1180" customWidth="1"/>
    <col min="13118" max="13118" width="9.28515625" style="1180" customWidth="1"/>
    <col min="13119" max="13121" width="9.7109375" style="1180" customWidth="1"/>
    <col min="13122" max="13124" width="0" style="1180" hidden="1" customWidth="1"/>
    <col min="13125" max="13125" width="1.5703125" style="1180" customWidth="1"/>
    <col min="13126" max="13339" width="9.140625" style="1180"/>
    <col min="13340" max="13340" width="2.7109375" style="1180" customWidth="1"/>
    <col min="13341" max="13341" width="38.140625" style="1180" customWidth="1"/>
    <col min="13342" max="13342" width="9.85546875" style="1180" customWidth="1"/>
    <col min="13343" max="13343" width="9.7109375" style="1180" customWidth="1"/>
    <col min="13344" max="13344" width="1.5703125" style="1180" customWidth="1"/>
    <col min="13345" max="13347" width="0" style="1180" hidden="1" customWidth="1"/>
    <col min="13348" max="13356" width="8.5703125" style="1180" customWidth="1"/>
    <col min="13357" max="13371" width="0" style="1180" hidden="1" customWidth="1"/>
    <col min="13372" max="13372" width="1.5703125" style="1180" customWidth="1"/>
    <col min="13373" max="13373" width="9.7109375" style="1180" customWidth="1"/>
    <col min="13374" max="13374" width="9.28515625" style="1180" customWidth="1"/>
    <col min="13375" max="13377" width="9.7109375" style="1180" customWidth="1"/>
    <col min="13378" max="13380" width="0" style="1180" hidden="1" customWidth="1"/>
    <col min="13381" max="13381" width="1.5703125" style="1180" customWidth="1"/>
    <col min="13382" max="13595" width="9.140625" style="1180"/>
    <col min="13596" max="13596" width="2.7109375" style="1180" customWidth="1"/>
    <col min="13597" max="13597" width="38.140625" style="1180" customWidth="1"/>
    <col min="13598" max="13598" width="9.85546875" style="1180" customWidth="1"/>
    <col min="13599" max="13599" width="9.7109375" style="1180" customWidth="1"/>
    <col min="13600" max="13600" width="1.5703125" style="1180" customWidth="1"/>
    <col min="13601" max="13603" width="0" style="1180" hidden="1" customWidth="1"/>
    <col min="13604" max="13612" width="8.5703125" style="1180" customWidth="1"/>
    <col min="13613" max="13627" width="0" style="1180" hidden="1" customWidth="1"/>
    <col min="13628" max="13628" width="1.5703125" style="1180" customWidth="1"/>
    <col min="13629" max="13629" width="9.7109375" style="1180" customWidth="1"/>
    <col min="13630" max="13630" width="9.28515625" style="1180" customWidth="1"/>
    <col min="13631" max="13633" width="9.7109375" style="1180" customWidth="1"/>
    <col min="13634" max="13636" width="0" style="1180" hidden="1" customWidth="1"/>
    <col min="13637" max="13637" width="1.5703125" style="1180" customWidth="1"/>
    <col min="13638" max="13851" width="9.140625" style="1180"/>
    <col min="13852" max="13852" width="2.7109375" style="1180" customWidth="1"/>
    <col min="13853" max="13853" width="38.140625" style="1180" customWidth="1"/>
    <col min="13854" max="13854" width="9.85546875" style="1180" customWidth="1"/>
    <col min="13855" max="13855" width="9.7109375" style="1180" customWidth="1"/>
    <col min="13856" max="13856" width="1.5703125" style="1180" customWidth="1"/>
    <col min="13857" max="13859" width="0" style="1180" hidden="1" customWidth="1"/>
    <col min="13860" max="13868" width="8.5703125" style="1180" customWidth="1"/>
    <col min="13869" max="13883" width="0" style="1180" hidden="1" customWidth="1"/>
    <col min="13884" max="13884" width="1.5703125" style="1180" customWidth="1"/>
    <col min="13885" max="13885" width="9.7109375" style="1180" customWidth="1"/>
    <col min="13886" max="13886" width="9.28515625" style="1180" customWidth="1"/>
    <col min="13887" max="13889" width="9.7109375" style="1180" customWidth="1"/>
    <col min="13890" max="13892" width="0" style="1180" hidden="1" customWidth="1"/>
    <col min="13893" max="13893" width="1.5703125" style="1180" customWidth="1"/>
    <col min="13894" max="14107" width="9.140625" style="1180"/>
    <col min="14108" max="14108" width="2.7109375" style="1180" customWidth="1"/>
    <col min="14109" max="14109" width="38.140625" style="1180" customWidth="1"/>
    <col min="14110" max="14110" width="9.85546875" style="1180" customWidth="1"/>
    <col min="14111" max="14111" width="9.7109375" style="1180" customWidth="1"/>
    <col min="14112" max="14112" width="1.5703125" style="1180" customWidth="1"/>
    <col min="14113" max="14115" width="0" style="1180" hidden="1" customWidth="1"/>
    <col min="14116" max="14124" width="8.5703125" style="1180" customWidth="1"/>
    <col min="14125" max="14139" width="0" style="1180" hidden="1" customWidth="1"/>
    <col min="14140" max="14140" width="1.5703125" style="1180" customWidth="1"/>
    <col min="14141" max="14141" width="9.7109375" style="1180" customWidth="1"/>
    <col min="14142" max="14142" width="9.28515625" style="1180" customWidth="1"/>
    <col min="14143" max="14145" width="9.7109375" style="1180" customWidth="1"/>
    <col min="14146" max="14148" width="0" style="1180" hidden="1" customWidth="1"/>
    <col min="14149" max="14149" width="1.5703125" style="1180" customWidth="1"/>
    <col min="14150" max="14363" width="9.140625" style="1180"/>
    <col min="14364" max="14364" width="2.7109375" style="1180" customWidth="1"/>
    <col min="14365" max="14365" width="38.140625" style="1180" customWidth="1"/>
    <col min="14366" max="14366" width="9.85546875" style="1180" customWidth="1"/>
    <col min="14367" max="14367" width="9.7109375" style="1180" customWidth="1"/>
    <col min="14368" max="14368" width="1.5703125" style="1180" customWidth="1"/>
    <col min="14369" max="14371" width="0" style="1180" hidden="1" customWidth="1"/>
    <col min="14372" max="14380" width="8.5703125" style="1180" customWidth="1"/>
    <col min="14381" max="14395" width="0" style="1180" hidden="1" customWidth="1"/>
    <col min="14396" max="14396" width="1.5703125" style="1180" customWidth="1"/>
    <col min="14397" max="14397" width="9.7109375" style="1180" customWidth="1"/>
    <col min="14398" max="14398" width="9.28515625" style="1180" customWidth="1"/>
    <col min="14399" max="14401" width="9.7109375" style="1180" customWidth="1"/>
    <col min="14402" max="14404" width="0" style="1180" hidden="1" customWidth="1"/>
    <col min="14405" max="14405" width="1.5703125" style="1180" customWidth="1"/>
    <col min="14406" max="14619" width="9.140625" style="1180"/>
    <col min="14620" max="14620" width="2.7109375" style="1180" customWidth="1"/>
    <col min="14621" max="14621" width="38.140625" style="1180" customWidth="1"/>
    <col min="14622" max="14622" width="9.85546875" style="1180" customWidth="1"/>
    <col min="14623" max="14623" width="9.7109375" style="1180" customWidth="1"/>
    <col min="14624" max="14624" width="1.5703125" style="1180" customWidth="1"/>
    <col min="14625" max="14627" width="0" style="1180" hidden="1" customWidth="1"/>
    <col min="14628" max="14636" width="8.5703125" style="1180" customWidth="1"/>
    <col min="14637" max="14651" width="0" style="1180" hidden="1" customWidth="1"/>
    <col min="14652" max="14652" width="1.5703125" style="1180" customWidth="1"/>
    <col min="14653" max="14653" width="9.7109375" style="1180" customWidth="1"/>
    <col min="14654" max="14654" width="9.28515625" style="1180" customWidth="1"/>
    <col min="14655" max="14657" width="9.7109375" style="1180" customWidth="1"/>
    <col min="14658" max="14660" width="0" style="1180" hidden="1" customWidth="1"/>
    <col min="14661" max="14661" width="1.5703125" style="1180" customWidth="1"/>
    <col min="14662" max="14875" width="9.140625" style="1180"/>
    <col min="14876" max="14876" width="2.7109375" style="1180" customWidth="1"/>
    <col min="14877" max="14877" width="38.140625" style="1180" customWidth="1"/>
    <col min="14878" max="14878" width="9.85546875" style="1180" customWidth="1"/>
    <col min="14879" max="14879" width="9.7109375" style="1180" customWidth="1"/>
    <col min="14880" max="14880" width="1.5703125" style="1180" customWidth="1"/>
    <col min="14881" max="14883" width="0" style="1180" hidden="1" customWidth="1"/>
    <col min="14884" max="14892" width="8.5703125" style="1180" customWidth="1"/>
    <col min="14893" max="14907" width="0" style="1180" hidden="1" customWidth="1"/>
    <col min="14908" max="14908" width="1.5703125" style="1180" customWidth="1"/>
    <col min="14909" max="14909" width="9.7109375" style="1180" customWidth="1"/>
    <col min="14910" max="14910" width="9.28515625" style="1180" customWidth="1"/>
    <col min="14911" max="14913" width="9.7109375" style="1180" customWidth="1"/>
    <col min="14914" max="14916" width="0" style="1180" hidden="1" customWidth="1"/>
    <col min="14917" max="14917" width="1.5703125" style="1180" customWidth="1"/>
    <col min="14918" max="15131" width="9.140625" style="1180"/>
    <col min="15132" max="15132" width="2.7109375" style="1180" customWidth="1"/>
    <col min="15133" max="15133" width="38.140625" style="1180" customWidth="1"/>
    <col min="15134" max="15134" width="9.85546875" style="1180" customWidth="1"/>
    <col min="15135" max="15135" width="9.7109375" style="1180" customWidth="1"/>
    <col min="15136" max="15136" width="1.5703125" style="1180" customWidth="1"/>
    <col min="15137" max="15139" width="0" style="1180" hidden="1" customWidth="1"/>
    <col min="15140" max="15148" width="8.5703125" style="1180" customWidth="1"/>
    <col min="15149" max="15163" width="0" style="1180" hidden="1" customWidth="1"/>
    <col min="15164" max="15164" width="1.5703125" style="1180" customWidth="1"/>
    <col min="15165" max="15165" width="9.7109375" style="1180" customWidth="1"/>
    <col min="15166" max="15166" width="9.28515625" style="1180" customWidth="1"/>
    <col min="15167" max="15169" width="9.7109375" style="1180" customWidth="1"/>
    <col min="15170" max="15172" width="0" style="1180" hidden="1" customWidth="1"/>
    <col min="15173" max="15173" width="1.5703125" style="1180" customWidth="1"/>
    <col min="15174" max="15387" width="9.140625" style="1180"/>
    <col min="15388" max="15388" width="2.7109375" style="1180" customWidth="1"/>
    <col min="15389" max="15389" width="38.140625" style="1180" customWidth="1"/>
    <col min="15390" max="15390" width="9.85546875" style="1180" customWidth="1"/>
    <col min="15391" max="15391" width="9.7109375" style="1180" customWidth="1"/>
    <col min="15392" max="15392" width="1.5703125" style="1180" customWidth="1"/>
    <col min="15393" max="15395" width="0" style="1180" hidden="1" customWidth="1"/>
    <col min="15396" max="15404" width="8.5703125" style="1180" customWidth="1"/>
    <col min="15405" max="15419" width="0" style="1180" hidden="1" customWidth="1"/>
    <col min="15420" max="15420" width="1.5703125" style="1180" customWidth="1"/>
    <col min="15421" max="15421" width="9.7109375" style="1180" customWidth="1"/>
    <col min="15422" max="15422" width="9.28515625" style="1180" customWidth="1"/>
    <col min="15423" max="15425" width="9.7109375" style="1180" customWidth="1"/>
    <col min="15426" max="15428" width="0" style="1180" hidden="1" customWidth="1"/>
    <col min="15429" max="15429" width="1.5703125" style="1180" customWidth="1"/>
    <col min="15430" max="15643" width="9.140625" style="1180"/>
    <col min="15644" max="15644" width="2.7109375" style="1180" customWidth="1"/>
    <col min="15645" max="15645" width="38.140625" style="1180" customWidth="1"/>
    <col min="15646" max="15646" width="9.85546875" style="1180" customWidth="1"/>
    <col min="15647" max="15647" width="9.7109375" style="1180" customWidth="1"/>
    <col min="15648" max="15648" width="1.5703125" style="1180" customWidth="1"/>
    <col min="15649" max="15651" width="0" style="1180" hidden="1" customWidth="1"/>
    <col min="15652" max="15660" width="8.5703125" style="1180" customWidth="1"/>
    <col min="15661" max="15675" width="0" style="1180" hidden="1" customWidth="1"/>
    <col min="15676" max="15676" width="1.5703125" style="1180" customWidth="1"/>
    <col min="15677" max="15677" width="9.7109375" style="1180" customWidth="1"/>
    <col min="15678" max="15678" width="9.28515625" style="1180" customWidth="1"/>
    <col min="15679" max="15681" width="9.7109375" style="1180" customWidth="1"/>
    <col min="15682" max="15684" width="0" style="1180" hidden="1" customWidth="1"/>
    <col min="15685" max="15685" width="1.5703125" style="1180" customWidth="1"/>
    <col min="15686" max="15899" width="9.140625" style="1180"/>
    <col min="15900" max="15900" width="2.7109375" style="1180" customWidth="1"/>
    <col min="15901" max="15901" width="38.140625" style="1180" customWidth="1"/>
    <col min="15902" max="15902" width="9.85546875" style="1180" customWidth="1"/>
    <col min="15903" max="15903" width="9.7109375" style="1180" customWidth="1"/>
    <col min="15904" max="15904" width="1.5703125" style="1180" customWidth="1"/>
    <col min="15905" max="15907" width="0" style="1180" hidden="1" customWidth="1"/>
    <col min="15908" max="15916" width="8.5703125" style="1180" customWidth="1"/>
    <col min="15917" max="15931" width="0" style="1180" hidden="1" customWidth="1"/>
    <col min="15932" max="15932" width="1.5703125" style="1180" customWidth="1"/>
    <col min="15933" max="15933" width="9.7109375" style="1180" customWidth="1"/>
    <col min="15934" max="15934" width="9.28515625" style="1180" customWidth="1"/>
    <col min="15935" max="15937" width="9.7109375" style="1180" customWidth="1"/>
    <col min="15938" max="15940" width="0" style="1180" hidden="1" customWidth="1"/>
    <col min="15941" max="15941" width="1.5703125" style="1180" customWidth="1"/>
    <col min="15942" max="16155" width="9.140625" style="1180"/>
    <col min="16156" max="16156" width="2.7109375" style="1180" customWidth="1"/>
    <col min="16157" max="16157" width="38.140625" style="1180" customWidth="1"/>
    <col min="16158" max="16158" width="9.85546875" style="1180" customWidth="1"/>
    <col min="16159" max="16159" width="9.7109375" style="1180" customWidth="1"/>
    <col min="16160" max="16160" width="1.5703125" style="1180" customWidth="1"/>
    <col min="16161" max="16163" width="0" style="1180" hidden="1" customWidth="1"/>
    <col min="16164" max="16172" width="8.5703125" style="1180" customWidth="1"/>
    <col min="16173" max="16187" width="0" style="1180" hidden="1" customWidth="1"/>
    <col min="16188" max="16188" width="1.5703125" style="1180" customWidth="1"/>
    <col min="16189" max="16189" width="9.7109375" style="1180" customWidth="1"/>
    <col min="16190" max="16190" width="9.28515625" style="1180" customWidth="1"/>
    <col min="16191" max="16193" width="9.7109375" style="1180" customWidth="1"/>
    <col min="16194" max="16196" width="0" style="1180" hidden="1" customWidth="1"/>
    <col min="16197" max="16197" width="1.5703125" style="1180" customWidth="1"/>
    <col min="16198" max="16384" width="9.140625" style="1180"/>
  </cols>
  <sheetData>
    <row r="3" spans="1:76" x14ac:dyDescent="0.2">
      <c r="K3" s="1259"/>
      <c r="L3" s="1257"/>
      <c r="M3" s="1257"/>
      <c r="O3" s="1259"/>
      <c r="P3" s="1257"/>
      <c r="Q3" s="1257"/>
      <c r="S3" s="1259"/>
      <c r="T3" s="1257"/>
      <c r="U3" s="1257"/>
      <c r="W3" s="1259"/>
      <c r="X3" s="1257"/>
      <c r="Y3" s="1257"/>
      <c r="AA3" s="1259"/>
    </row>
    <row r="4" spans="1:76" x14ac:dyDescent="0.2">
      <c r="AA4" s="1391"/>
      <c r="AZ4" s="1391"/>
    </row>
    <row r="5" spans="1:76" x14ac:dyDescent="0.2">
      <c r="A5" s="1226"/>
      <c r="B5" s="1226"/>
      <c r="C5" s="1226"/>
      <c r="D5" s="1226"/>
      <c r="AO5" s="1226"/>
      <c r="AP5" s="1226"/>
      <c r="AQ5" s="1226"/>
    </row>
    <row r="6" spans="1:76" ht="18" customHeight="1" x14ac:dyDescent="0.2">
      <c r="A6" s="1227" t="s">
        <v>446</v>
      </c>
      <c r="B6" s="1226"/>
      <c r="C6" s="1226"/>
      <c r="D6" s="1226"/>
      <c r="AO6" s="1226"/>
      <c r="AP6" s="1226"/>
      <c r="AQ6" s="1226"/>
    </row>
    <row r="7" spans="1:76" ht="18" customHeight="1" x14ac:dyDescent="0.2">
      <c r="A7" s="1227" t="s">
        <v>364</v>
      </c>
      <c r="B7" s="1226"/>
      <c r="C7" s="1226"/>
      <c r="D7" s="1226"/>
      <c r="K7" s="1258"/>
      <c r="L7" s="1258"/>
      <c r="O7" s="1258"/>
      <c r="P7" s="1258"/>
      <c r="S7" s="1258"/>
      <c r="T7" s="1258"/>
      <c r="AO7" s="1226"/>
      <c r="AP7" s="1226"/>
      <c r="AQ7" s="1226"/>
    </row>
    <row r="8" spans="1:76" ht="18" customHeight="1" x14ac:dyDescent="0.2">
      <c r="A8" s="1227" t="s">
        <v>445</v>
      </c>
      <c r="B8" s="1226"/>
      <c r="C8" s="1226"/>
      <c r="D8" s="1226"/>
      <c r="K8" s="1258"/>
      <c r="L8" s="1258"/>
      <c r="O8" s="1258"/>
      <c r="P8" s="1258"/>
      <c r="S8" s="1258"/>
      <c r="T8" s="1258"/>
      <c r="AO8" s="1226"/>
      <c r="AP8" s="1226"/>
      <c r="AQ8" s="1226"/>
      <c r="AZ8" s="1259"/>
      <c r="BD8" s="2013"/>
      <c r="BE8" s="2013"/>
      <c r="BF8" s="2013"/>
      <c r="BG8" s="2013"/>
      <c r="BH8" s="2013"/>
    </row>
    <row r="9" spans="1:76" x14ac:dyDescent="0.2">
      <c r="A9" s="967" t="s">
        <v>264</v>
      </c>
      <c r="B9" s="1226"/>
      <c r="C9" s="1226"/>
      <c r="D9" s="1226"/>
      <c r="K9" s="1259"/>
      <c r="O9" s="1259"/>
      <c r="S9" s="1259"/>
      <c r="AO9" s="1226"/>
      <c r="AP9" s="1226"/>
      <c r="AQ9" s="1226"/>
    </row>
    <row r="10" spans="1:76" ht="9.75" customHeight="1" x14ac:dyDescent="0.2">
      <c r="A10" s="964"/>
      <c r="B10" s="964"/>
      <c r="C10" s="964"/>
      <c r="D10" s="964"/>
      <c r="E10" s="915"/>
      <c r="F10" s="915"/>
      <c r="G10" s="915"/>
      <c r="H10" s="915"/>
      <c r="I10" s="915"/>
      <c r="J10" s="964"/>
      <c r="K10" s="964"/>
      <c r="L10" s="964"/>
      <c r="M10" s="964"/>
      <c r="N10" s="964"/>
      <c r="O10" s="964"/>
      <c r="P10" s="964"/>
      <c r="Q10" s="964"/>
      <c r="R10" s="964"/>
      <c r="S10" s="964"/>
      <c r="T10" s="964"/>
      <c r="U10" s="964"/>
      <c r="V10" s="964"/>
      <c r="W10" s="964"/>
      <c r="X10" s="964"/>
      <c r="Y10" s="964"/>
      <c r="Z10" s="999"/>
      <c r="AA10" s="964"/>
      <c r="AB10" s="964"/>
      <c r="AC10" s="964"/>
      <c r="AD10" s="999"/>
      <c r="AE10" s="964"/>
      <c r="AF10" s="999"/>
      <c r="AG10" s="964"/>
      <c r="AH10" s="999"/>
      <c r="AI10" s="964"/>
      <c r="AJ10" s="999"/>
      <c r="AK10" s="964"/>
      <c r="AL10" s="999"/>
      <c r="AM10" s="964"/>
      <c r="AN10" s="964"/>
      <c r="AO10" s="1226"/>
      <c r="AP10" s="1226"/>
      <c r="AQ10" s="1226"/>
      <c r="BA10" s="1260"/>
      <c r="BB10" s="1260"/>
      <c r="BD10" s="1260"/>
      <c r="BE10" s="1260"/>
      <c r="BF10" s="1260"/>
      <c r="BG10" s="1260"/>
      <c r="BH10" s="1260"/>
      <c r="BI10" s="1260"/>
      <c r="BN10" s="1226"/>
      <c r="BO10" s="1226"/>
      <c r="BP10" s="1226"/>
    </row>
    <row r="11" spans="1:76" x14ac:dyDescent="0.2">
      <c r="A11" s="968" t="s">
        <v>1</v>
      </c>
      <c r="B11" s="969"/>
      <c r="C11" s="2455" t="s">
        <v>456</v>
      </c>
      <c r="D11" s="2456"/>
      <c r="E11" s="919"/>
      <c r="F11" s="921"/>
      <c r="G11" s="921"/>
      <c r="H11" s="1878"/>
      <c r="I11" s="2348"/>
      <c r="J11" s="1000"/>
      <c r="K11" s="1000"/>
      <c r="L11" s="1888"/>
      <c r="M11" s="1889"/>
      <c r="N11" s="1000"/>
      <c r="O11" s="1000"/>
      <c r="P11" s="1888"/>
      <c r="Q11" s="1889"/>
      <c r="R11" s="1000"/>
      <c r="S11" s="1000"/>
      <c r="T11" s="1888"/>
      <c r="U11" s="1889"/>
      <c r="V11" s="1888"/>
      <c r="W11" s="1888"/>
      <c r="X11" s="1888"/>
      <c r="Y11" s="1889"/>
      <c r="Z11" s="1888"/>
      <c r="AA11" s="1888"/>
      <c r="AB11" s="1888"/>
      <c r="AC11" s="1888"/>
      <c r="AD11" s="1782"/>
      <c r="AE11" s="1888"/>
      <c r="AF11" s="1888"/>
      <c r="AG11" s="1888"/>
      <c r="AH11" s="1782"/>
      <c r="AI11" s="1888"/>
      <c r="AJ11" s="1888"/>
      <c r="AK11" s="1888"/>
      <c r="AL11" s="1782"/>
      <c r="AM11" s="1888"/>
      <c r="AN11" s="1889"/>
      <c r="AO11" s="1889"/>
      <c r="AP11" s="1889"/>
      <c r="AQ11" s="1633"/>
      <c r="AR11" s="1633"/>
      <c r="AS11" s="1608"/>
      <c r="AT11" s="1633"/>
      <c r="AU11" s="1608"/>
      <c r="AV11" s="1608"/>
      <c r="AW11" s="1633"/>
      <c r="AX11" s="1687"/>
      <c r="AY11" s="1006" t="s">
        <v>448</v>
      </c>
      <c r="AZ11" s="1006"/>
      <c r="BA11" s="1006" t="s">
        <v>441</v>
      </c>
      <c r="BB11" s="1007"/>
      <c r="BC11" s="1008"/>
      <c r="BD11" s="2273"/>
      <c r="BE11" s="2273"/>
      <c r="BF11" s="2273"/>
      <c r="BG11" s="2273"/>
      <c r="BH11" s="2273"/>
      <c r="BI11" s="2273"/>
      <c r="BJ11" s="1009"/>
      <c r="BK11" s="1009"/>
      <c r="BL11" s="1264"/>
      <c r="BM11" s="1264"/>
      <c r="BN11" s="1009"/>
      <c r="BO11" s="1009"/>
      <c r="BP11" s="2273"/>
      <c r="BQ11" s="1266"/>
    </row>
    <row r="12" spans="1:76" ht="13.5" x14ac:dyDescent="0.2">
      <c r="A12" s="968" t="s">
        <v>2</v>
      </c>
      <c r="B12" s="969"/>
      <c r="C12" s="2457" t="s">
        <v>39</v>
      </c>
      <c r="D12" s="2458"/>
      <c r="E12" s="924"/>
      <c r="F12" s="925" t="s">
        <v>452</v>
      </c>
      <c r="G12" s="925" t="s">
        <v>453</v>
      </c>
      <c r="H12" s="925" t="s">
        <v>454</v>
      </c>
      <c r="I12" s="2281" t="s">
        <v>455</v>
      </c>
      <c r="J12" s="1010" t="s">
        <v>399</v>
      </c>
      <c r="K12" s="1010" t="s">
        <v>398</v>
      </c>
      <c r="L12" s="1010" t="s">
        <v>397</v>
      </c>
      <c r="M12" s="1011" t="s">
        <v>395</v>
      </c>
      <c r="N12" s="1010" t="s">
        <v>373</v>
      </c>
      <c r="O12" s="1010" t="s">
        <v>374</v>
      </c>
      <c r="P12" s="1010" t="s">
        <v>375</v>
      </c>
      <c r="Q12" s="1011" t="s">
        <v>376</v>
      </c>
      <c r="R12" s="1010" t="s">
        <v>330</v>
      </c>
      <c r="S12" s="1667" t="s">
        <v>329</v>
      </c>
      <c r="T12" s="1667" t="s">
        <v>328</v>
      </c>
      <c r="U12" s="1668" t="s">
        <v>326</v>
      </c>
      <c r="V12" s="1667" t="s">
        <v>282</v>
      </c>
      <c r="W12" s="1667" t="s">
        <v>283</v>
      </c>
      <c r="X12" s="1667" t="s">
        <v>284</v>
      </c>
      <c r="Y12" s="1668" t="s">
        <v>285</v>
      </c>
      <c r="Z12" s="1667" t="s">
        <v>220</v>
      </c>
      <c r="AA12" s="1667" t="s">
        <v>221</v>
      </c>
      <c r="AB12" s="1667" t="s">
        <v>222</v>
      </c>
      <c r="AC12" s="1668" t="s">
        <v>219</v>
      </c>
      <c r="AD12" s="1669" t="s">
        <v>185</v>
      </c>
      <c r="AE12" s="1667" t="s">
        <v>186</v>
      </c>
      <c r="AF12" s="1667" t="s">
        <v>187</v>
      </c>
      <c r="AG12" s="1667" t="e">
        <v>#REF!</v>
      </c>
      <c r="AH12" s="1669" t="s">
        <v>118</v>
      </c>
      <c r="AI12" s="1667" t="s">
        <v>117</v>
      </c>
      <c r="AJ12" s="1667" t="s">
        <v>116</v>
      </c>
      <c r="AK12" s="1667" t="s">
        <v>115</v>
      </c>
      <c r="AL12" s="1669" t="s">
        <v>83</v>
      </c>
      <c r="AM12" s="1667" t="s">
        <v>84</v>
      </c>
      <c r="AN12" s="1668" t="s">
        <v>85</v>
      </c>
      <c r="AO12" s="1668" t="s">
        <v>30</v>
      </c>
      <c r="AP12" s="1668" t="s">
        <v>30</v>
      </c>
      <c r="AQ12" s="1633"/>
      <c r="AR12" s="1633"/>
      <c r="AS12" s="1608"/>
      <c r="AT12" s="1633"/>
      <c r="AU12" s="1608"/>
      <c r="AV12" s="1608"/>
      <c r="AW12" s="1633"/>
      <c r="AX12" s="1687"/>
      <c r="AY12" s="1010" t="s">
        <v>399</v>
      </c>
      <c r="AZ12" s="1010" t="s">
        <v>373</v>
      </c>
      <c r="BA12" s="2485" t="s">
        <v>39</v>
      </c>
      <c r="BB12" s="2458"/>
      <c r="BC12" s="2271"/>
      <c r="BD12" s="1012" t="s">
        <v>438</v>
      </c>
      <c r="BE12" s="1012" t="s">
        <v>385</v>
      </c>
      <c r="BF12" s="1012" t="s">
        <v>332</v>
      </c>
      <c r="BG12" s="1012" t="s">
        <v>287</v>
      </c>
      <c r="BH12" s="1012" t="s">
        <v>224</v>
      </c>
      <c r="BI12" s="1012" t="s">
        <v>120</v>
      </c>
      <c r="BJ12" s="1013" t="s">
        <v>119</v>
      </c>
      <c r="BK12" s="1013" t="s">
        <v>43</v>
      </c>
      <c r="BL12" s="1013" t="s">
        <v>40</v>
      </c>
      <c r="BM12" s="1013" t="s">
        <v>41</v>
      </c>
      <c r="BN12" s="1013" t="s">
        <v>138</v>
      </c>
      <c r="BO12" s="1013" t="s">
        <v>139</v>
      </c>
      <c r="BP12" s="1012" t="s">
        <v>140</v>
      </c>
      <c r="BQ12" s="1266"/>
      <c r="BR12" s="1226"/>
      <c r="BS12" s="1181"/>
      <c r="BV12" s="1181"/>
      <c r="BW12" s="1181"/>
      <c r="BX12" s="1181"/>
    </row>
    <row r="13" spans="1:76" x14ac:dyDescent="0.2">
      <c r="A13" s="968"/>
      <c r="B13" s="969"/>
      <c r="C13" s="2006"/>
      <c r="D13" s="2007"/>
      <c r="E13" s="2000"/>
      <c r="F13" s="1186"/>
      <c r="G13" s="1186"/>
      <c r="H13" s="1186"/>
      <c r="I13" s="2282"/>
      <c r="J13" s="1268"/>
      <c r="K13" s="1268"/>
      <c r="L13" s="1268"/>
      <c r="M13" s="1269"/>
      <c r="N13" s="1268"/>
      <c r="O13" s="1268"/>
      <c r="P13" s="1268"/>
      <c r="Q13" s="1269"/>
      <c r="R13" s="1268"/>
      <c r="S13" s="1673"/>
      <c r="T13" s="1268"/>
      <c r="U13" s="1269"/>
      <c r="V13" s="1268"/>
      <c r="W13" s="1268"/>
      <c r="X13" s="1268"/>
      <c r="Y13" s="1269"/>
      <c r="Z13" s="1270"/>
      <c r="AA13" s="1268"/>
      <c r="AB13" s="1268"/>
      <c r="AC13" s="1269"/>
      <c r="AD13" s="1270"/>
      <c r="AE13" s="1268"/>
      <c r="AF13" s="1268"/>
      <c r="AG13" s="1269"/>
      <c r="AH13" s="1270"/>
      <c r="AI13" s="1268"/>
      <c r="AJ13" s="1268"/>
      <c r="AK13" s="1269"/>
      <c r="AL13" s="1008"/>
      <c r="AM13" s="1008"/>
      <c r="AN13" s="1008"/>
      <c r="AO13" s="1271"/>
      <c r="AP13" s="1008"/>
      <c r="AQ13" s="1008"/>
      <c r="AR13" s="1008"/>
      <c r="AS13" s="1008"/>
      <c r="AT13" s="1014"/>
      <c r="AU13" s="1271"/>
      <c r="AV13" s="1271"/>
      <c r="AW13" s="1271"/>
      <c r="AX13" s="1014"/>
      <c r="AY13" s="1268"/>
      <c r="AZ13" s="1268"/>
      <c r="BA13" s="1263"/>
      <c r="BB13" s="1261"/>
      <c r="BC13" s="2271"/>
      <c r="BD13" s="1270"/>
      <c r="BE13" s="1270"/>
      <c r="BF13" s="1270"/>
      <c r="BG13" s="1270"/>
      <c r="BH13" s="1270"/>
      <c r="BI13" s="1272"/>
      <c r="BJ13" s="1444" t="s">
        <v>241</v>
      </c>
      <c r="BK13" s="1444" t="s">
        <v>241</v>
      </c>
      <c r="BL13" s="1444" t="s">
        <v>241</v>
      </c>
      <c r="BM13" s="1444" t="s">
        <v>241</v>
      </c>
      <c r="BN13" s="1014"/>
      <c r="BO13" s="1014"/>
      <c r="BP13" s="2014"/>
      <c r="BQ13" s="1266"/>
      <c r="BR13" s="1226"/>
      <c r="BS13" s="1181"/>
      <c r="BV13" s="1181"/>
      <c r="BW13" s="1181"/>
      <c r="BX13" s="1181"/>
    </row>
    <row r="14" spans="1:76" ht="12.75" customHeight="1" x14ac:dyDescent="0.2">
      <c r="A14" s="970" t="s">
        <v>61</v>
      </c>
      <c r="B14" s="971"/>
      <c r="C14" s="1230"/>
      <c r="D14" s="1228"/>
      <c r="E14" s="1187"/>
      <c r="F14" s="918"/>
      <c r="G14" s="918"/>
      <c r="H14" s="918"/>
      <c r="I14" s="2361"/>
      <c r="J14" s="969"/>
      <c r="K14" s="969"/>
      <c r="L14" s="969"/>
      <c r="M14" s="1084"/>
      <c r="N14" s="969"/>
      <c r="O14" s="969"/>
      <c r="P14" s="969"/>
      <c r="Q14" s="1084"/>
      <c r="R14" s="969"/>
      <c r="S14" s="969"/>
      <c r="T14" s="969"/>
      <c r="U14" s="1084"/>
      <c r="V14" s="969"/>
      <c r="W14" s="969"/>
      <c r="X14" s="969"/>
      <c r="Y14" s="1084"/>
      <c r="Z14" s="1251"/>
      <c r="AA14" s="969"/>
      <c r="AB14" s="969"/>
      <c r="AC14" s="1084"/>
      <c r="AD14" s="1251"/>
      <c r="AE14" s="969"/>
      <c r="AF14" s="969"/>
      <c r="AG14" s="1084"/>
      <c r="AH14" s="1251"/>
      <c r="AI14" s="969"/>
      <c r="AJ14" s="969"/>
      <c r="AK14" s="1084"/>
      <c r="AL14" s="1251"/>
      <c r="AM14" s="969"/>
      <c r="AN14" s="969"/>
      <c r="AO14" s="1084"/>
      <c r="AP14" s="1251"/>
      <c r="AQ14" s="1251"/>
      <c r="AR14" s="1251"/>
      <c r="AS14" s="1228"/>
      <c r="AT14" s="1274"/>
      <c r="AU14" s="1228"/>
      <c r="AV14" s="1228"/>
      <c r="AW14" s="1228"/>
      <c r="AX14" s="1274"/>
      <c r="AY14" s="1251"/>
      <c r="AZ14" s="1251"/>
      <c r="BA14" s="2015"/>
      <c r="BB14" s="2016"/>
      <c r="BC14" s="1235"/>
      <c r="BD14" s="2017"/>
      <c r="BE14" s="2017"/>
      <c r="BF14" s="2017"/>
      <c r="BG14" s="2017"/>
      <c r="BH14" s="2017"/>
      <c r="BI14" s="2017"/>
      <c r="BJ14" s="1274"/>
      <c r="BK14" s="1274"/>
      <c r="BL14" s="1274"/>
      <c r="BM14" s="1274"/>
      <c r="BN14" s="1369"/>
      <c r="BO14" s="1369"/>
      <c r="BP14" s="1421"/>
      <c r="BQ14" s="1266"/>
      <c r="BR14" s="1226"/>
      <c r="BS14" s="1181"/>
      <c r="BV14" s="1181"/>
    </row>
    <row r="15" spans="1:76" ht="12.75" customHeight="1" x14ac:dyDescent="0.2">
      <c r="A15" s="969"/>
      <c r="B15" s="1235" t="s">
        <v>182</v>
      </c>
      <c r="C15" s="1921">
        <v>3249</v>
      </c>
      <c r="D15" s="1056">
        <v>0.36019955654101998</v>
      </c>
      <c r="E15" s="937"/>
      <c r="F15" s="1400"/>
      <c r="G15" s="1400"/>
      <c r="H15" s="1400"/>
      <c r="I15" s="2303">
        <v>12269</v>
      </c>
      <c r="J15" s="1478">
        <v>10709</v>
      </c>
      <c r="K15" s="1478">
        <v>7013</v>
      </c>
      <c r="L15" s="1478">
        <v>5161</v>
      </c>
      <c r="M15" s="1477">
        <v>9020</v>
      </c>
      <c r="N15" s="1478">
        <v>14132</v>
      </c>
      <c r="O15" s="1478">
        <v>6111</v>
      </c>
      <c r="P15" s="1478">
        <v>10560</v>
      </c>
      <c r="Q15" s="1477">
        <v>12445</v>
      </c>
      <c r="R15" s="1478">
        <v>7531</v>
      </c>
      <c r="S15" s="1478">
        <v>14494</v>
      </c>
      <c r="T15" s="1478">
        <v>7549</v>
      </c>
      <c r="U15" s="1477">
        <v>4109</v>
      </c>
      <c r="V15" s="1478">
        <v>5127</v>
      </c>
      <c r="W15" s="1478">
        <v>7120</v>
      </c>
      <c r="X15" s="1478">
        <v>5004</v>
      </c>
      <c r="Y15" s="1477">
        <v>4563</v>
      </c>
      <c r="Z15" s="1483">
        <v>3713</v>
      </c>
      <c r="AA15" s="1478">
        <v>6694</v>
      </c>
      <c r="AB15" s="1478">
        <v>-167</v>
      </c>
      <c r="AC15" s="1477">
        <v>252</v>
      </c>
      <c r="AD15" s="1483">
        <v>603</v>
      </c>
      <c r="AE15" s="1478">
        <v>416</v>
      </c>
      <c r="AF15" s="1478">
        <v>361</v>
      </c>
      <c r="AG15" s="1477">
        <v>-152</v>
      </c>
      <c r="AH15" s="1554">
        <v>3494</v>
      </c>
      <c r="AI15" s="1478">
        <v>333</v>
      </c>
      <c r="AJ15" s="1500" t="e">
        <v>#REF!</v>
      </c>
      <c r="AK15" s="1501" t="e">
        <v>#REF!</v>
      </c>
      <c r="AL15" s="1478" t="e">
        <v>#REF!</v>
      </c>
      <c r="AM15" s="1478" t="e">
        <v>#REF!</v>
      </c>
      <c r="AN15" s="1478" t="e">
        <v>#REF!</v>
      </c>
      <c r="AO15" s="1477" t="e">
        <v>#REF!</v>
      </c>
      <c r="AP15" s="1478" t="e">
        <v>#REF!</v>
      </c>
      <c r="AQ15" s="1478" t="e">
        <v>#REF!</v>
      </c>
      <c r="AR15" s="1478" t="e">
        <v>#REF!</v>
      </c>
      <c r="AS15" s="1477" t="e">
        <v>#REF!</v>
      </c>
      <c r="AT15" s="1447" t="e">
        <v>#REF!</v>
      </c>
      <c r="AU15" s="1501" t="e">
        <v>#REF!</v>
      </c>
      <c r="AV15" s="1477" t="e">
        <v>#REF!</v>
      </c>
      <c r="AW15" s="1478" t="e">
        <v>#REF!</v>
      </c>
      <c r="AX15" s="1509"/>
      <c r="AY15" s="2018">
        <v>31903</v>
      </c>
      <c r="AZ15" s="2018">
        <v>43248</v>
      </c>
      <c r="BA15" s="1028">
        <v>-11345</v>
      </c>
      <c r="BB15" s="1056">
        <v>-0.26232426933037367</v>
      </c>
      <c r="BC15" s="2019"/>
      <c r="BD15" s="1447">
        <v>31903</v>
      </c>
      <c r="BE15" s="1447">
        <v>43248</v>
      </c>
      <c r="BF15" s="1447">
        <v>33683</v>
      </c>
      <c r="BG15" s="1447">
        <v>21814</v>
      </c>
      <c r="BH15" s="1447">
        <v>10492</v>
      </c>
      <c r="BI15" s="1447">
        <v>1228</v>
      </c>
      <c r="BJ15" s="1447">
        <v>5894</v>
      </c>
      <c r="BK15" s="1447">
        <v>6781</v>
      </c>
      <c r="BL15" s="1447">
        <v>9937</v>
      </c>
      <c r="BM15" s="1477">
        <v>15897</v>
      </c>
      <c r="BN15" s="1054">
        <v>125900</v>
      </c>
      <c r="BO15" s="1054">
        <v>116090</v>
      </c>
      <c r="BP15" s="979">
        <v>84489</v>
      </c>
      <c r="BQ15" s="1266"/>
      <c r="BR15" s="1226"/>
      <c r="BS15" s="1181"/>
      <c r="BV15" s="1181"/>
    </row>
    <row r="16" spans="1:76" ht="12.75" customHeight="1" x14ac:dyDescent="0.2">
      <c r="A16" s="969"/>
      <c r="B16" s="1235" t="s">
        <v>316</v>
      </c>
      <c r="C16" s="1921">
        <v>-451</v>
      </c>
      <c r="D16" s="1056">
        <v>-0.26989826451226812</v>
      </c>
      <c r="E16" s="937"/>
      <c r="F16" s="1400"/>
      <c r="G16" s="1400"/>
      <c r="H16" s="1400"/>
      <c r="I16" s="2309">
        <v>1220</v>
      </c>
      <c r="J16" s="1478">
        <v>971</v>
      </c>
      <c r="K16" s="1478">
        <v>1150</v>
      </c>
      <c r="L16" s="1478">
        <v>2321</v>
      </c>
      <c r="M16" s="1501">
        <v>1671</v>
      </c>
      <c r="N16" s="1478">
        <v>1846</v>
      </c>
      <c r="O16" s="1478">
        <v>1378</v>
      </c>
      <c r="P16" s="1478">
        <v>1529</v>
      </c>
      <c r="Q16" s="1501">
        <v>1605</v>
      </c>
      <c r="R16" s="1478">
        <v>1623</v>
      </c>
      <c r="S16" s="1478">
        <v>1481</v>
      </c>
      <c r="T16" s="1478">
        <v>942</v>
      </c>
      <c r="U16" s="1501">
        <v>755</v>
      </c>
      <c r="V16" s="1478">
        <v>1298</v>
      </c>
      <c r="W16" s="1478">
        <v>178</v>
      </c>
      <c r="X16" s="1478">
        <v>1153</v>
      </c>
      <c r="Y16" s="1501">
        <v>844</v>
      </c>
      <c r="Z16" s="1025">
        <v>0</v>
      </c>
      <c r="AA16" s="1025">
        <v>0</v>
      </c>
      <c r="AB16" s="1025">
        <v>0</v>
      </c>
      <c r="AC16" s="1053">
        <v>0</v>
      </c>
      <c r="AD16" s="979">
        <v>0</v>
      </c>
      <c r="AE16" s="1025">
        <v>0</v>
      </c>
      <c r="AF16" s="1025">
        <v>0</v>
      </c>
      <c r="AG16" s="1053">
        <v>0</v>
      </c>
      <c r="AH16" s="1500"/>
      <c r="AI16" s="1478"/>
      <c r="AJ16" s="1500"/>
      <c r="AK16" s="1501"/>
      <c r="AL16" s="1478"/>
      <c r="AM16" s="1478"/>
      <c r="AN16" s="1478"/>
      <c r="AO16" s="1477"/>
      <c r="AP16" s="1478"/>
      <c r="AQ16" s="1478"/>
      <c r="AR16" s="1478"/>
      <c r="AS16" s="1477"/>
      <c r="AT16" s="1447"/>
      <c r="AU16" s="1501"/>
      <c r="AV16" s="1477"/>
      <c r="AW16" s="1478"/>
      <c r="AX16" s="1509"/>
      <c r="AY16" s="2018">
        <v>6113</v>
      </c>
      <c r="AZ16" s="2018">
        <v>6358</v>
      </c>
      <c r="BA16" s="1028">
        <v>-245</v>
      </c>
      <c r="BB16" s="1056">
        <v>-3.8534130229631959E-2</v>
      </c>
      <c r="BC16" s="2019"/>
      <c r="BD16" s="1447">
        <v>6113</v>
      </c>
      <c r="BE16" s="1447">
        <v>6358</v>
      </c>
      <c r="BF16" s="1447">
        <v>4801</v>
      </c>
      <c r="BG16" s="2020">
        <v>3473</v>
      </c>
      <c r="BH16" s="2020">
        <v>0</v>
      </c>
      <c r="BI16" s="2020">
        <v>0</v>
      </c>
      <c r="BJ16" s="1465">
        <v>0</v>
      </c>
      <c r="BK16" s="1465">
        <v>0</v>
      </c>
      <c r="BL16" s="1470">
        <v>0</v>
      </c>
      <c r="BM16" s="1477"/>
      <c r="BN16" s="1054"/>
      <c r="BO16" s="1054"/>
      <c r="BP16" s="979"/>
      <c r="BQ16" s="1266"/>
      <c r="BR16" s="1226"/>
      <c r="BS16" s="1181"/>
      <c r="BV16" s="1181"/>
    </row>
    <row r="17" spans="1:74" ht="12.75" customHeight="1" x14ac:dyDescent="0.2">
      <c r="A17" s="971"/>
      <c r="B17" s="969"/>
      <c r="C17" s="2008">
        <v>2798</v>
      </c>
      <c r="D17" s="1232">
        <v>0.26171546160321768</v>
      </c>
      <c r="E17" s="937"/>
      <c r="F17" s="1399">
        <v>0</v>
      </c>
      <c r="G17" s="1399">
        <v>0</v>
      </c>
      <c r="H17" s="1399">
        <v>0</v>
      </c>
      <c r="I17" s="2302">
        <v>13489</v>
      </c>
      <c r="J17" s="1474">
        <v>11680</v>
      </c>
      <c r="K17" s="1474">
        <v>8163</v>
      </c>
      <c r="L17" s="1474">
        <v>7482</v>
      </c>
      <c r="M17" s="1473">
        <v>10691</v>
      </c>
      <c r="N17" s="1474">
        <v>15978</v>
      </c>
      <c r="O17" s="1474">
        <v>7489</v>
      </c>
      <c r="P17" s="1474">
        <v>12089</v>
      </c>
      <c r="Q17" s="1473">
        <v>14050</v>
      </c>
      <c r="R17" s="1474">
        <v>9154</v>
      </c>
      <c r="S17" s="1474">
        <v>15975</v>
      </c>
      <c r="T17" s="1474">
        <v>8491</v>
      </c>
      <c r="U17" s="1473">
        <v>4864</v>
      </c>
      <c r="V17" s="1474">
        <v>6425</v>
      </c>
      <c r="W17" s="1474">
        <v>7298</v>
      </c>
      <c r="X17" s="1474">
        <v>6157</v>
      </c>
      <c r="Y17" s="1473">
        <v>5407</v>
      </c>
      <c r="Z17" s="1474">
        <v>3713</v>
      </c>
      <c r="AA17" s="1474">
        <v>6694</v>
      </c>
      <c r="AB17" s="1474">
        <v>-167</v>
      </c>
      <c r="AC17" s="1473">
        <v>252</v>
      </c>
      <c r="AD17" s="1474">
        <v>603</v>
      </c>
      <c r="AE17" s="1474">
        <v>416</v>
      </c>
      <c r="AF17" s="1474">
        <v>361</v>
      </c>
      <c r="AG17" s="1473">
        <v>-152</v>
      </c>
      <c r="AH17" s="1474">
        <v>3494</v>
      </c>
      <c r="AI17" s="1474">
        <v>333</v>
      </c>
      <c r="AJ17" s="1474" t="e">
        <v>#REF!</v>
      </c>
      <c r="AK17" s="1473" t="e">
        <v>#REF!</v>
      </c>
      <c r="AL17" s="1474" t="e">
        <v>#REF!</v>
      </c>
      <c r="AM17" s="1474" t="e">
        <v>#REF!</v>
      </c>
      <c r="AN17" s="1474" t="e">
        <v>#REF!</v>
      </c>
      <c r="AO17" s="1473" t="e">
        <v>#REF!</v>
      </c>
      <c r="AP17" s="1474" t="e">
        <v>#REF!</v>
      </c>
      <c r="AQ17" s="1474" t="e">
        <v>#REF!</v>
      </c>
      <c r="AR17" s="1474" t="e">
        <v>#REF!</v>
      </c>
      <c r="AS17" s="1473" t="e">
        <v>#REF!</v>
      </c>
      <c r="AT17" s="1457" t="e">
        <v>#REF!</v>
      </c>
      <c r="AU17" s="1473" t="e">
        <v>#REF!</v>
      </c>
      <c r="AV17" s="1473" t="e">
        <v>#REF!</v>
      </c>
      <c r="AW17" s="1474" t="e">
        <v>#REF!</v>
      </c>
      <c r="AX17" s="1509"/>
      <c r="AY17" s="1925">
        <v>38016</v>
      </c>
      <c r="AZ17" s="1925">
        <v>49606</v>
      </c>
      <c r="BA17" s="1925">
        <v>-11590</v>
      </c>
      <c r="BB17" s="1232">
        <v>-0.23364109180341089</v>
      </c>
      <c r="BC17" s="2019"/>
      <c r="BD17" s="2251">
        <v>38016</v>
      </c>
      <c r="BE17" s="2021">
        <v>49606</v>
      </c>
      <c r="BF17" s="2021">
        <v>38484</v>
      </c>
      <c r="BG17" s="2021">
        <v>25287</v>
      </c>
      <c r="BH17" s="2021">
        <v>10492</v>
      </c>
      <c r="BI17" s="2021">
        <v>1228</v>
      </c>
      <c r="BJ17" s="1457">
        <v>5894</v>
      </c>
      <c r="BK17" s="1457">
        <v>6781</v>
      </c>
      <c r="BL17" s="1457">
        <v>9937</v>
      </c>
      <c r="BM17" s="1457">
        <v>15897</v>
      </c>
      <c r="BN17" s="1292">
        <v>125900</v>
      </c>
      <c r="BO17" s="1292">
        <v>116090</v>
      </c>
      <c r="BP17" s="1231">
        <v>84489</v>
      </c>
      <c r="BQ17" s="1266"/>
      <c r="BR17" s="1226"/>
      <c r="BS17" s="1181"/>
      <c r="BV17" s="1181"/>
    </row>
    <row r="18" spans="1:74" ht="12.75" customHeight="1" x14ac:dyDescent="0.2">
      <c r="A18" s="970" t="s">
        <v>5</v>
      </c>
      <c r="B18" s="969"/>
      <c r="C18" s="1921"/>
      <c r="D18" s="1056"/>
      <c r="E18" s="937"/>
      <c r="F18" s="1400"/>
      <c r="G18" s="1400"/>
      <c r="H18" s="1400"/>
      <c r="I18" s="2303"/>
      <c r="J18" s="1478"/>
      <c r="K18" s="1478"/>
      <c r="L18" s="1478"/>
      <c r="M18" s="1477"/>
      <c r="N18" s="1478"/>
      <c r="O18" s="1478"/>
      <c r="P18" s="1478"/>
      <c r="Q18" s="1477"/>
      <c r="R18" s="1478"/>
      <c r="S18" s="1478"/>
      <c r="T18" s="1478"/>
      <c r="U18" s="1477"/>
      <c r="V18" s="1478"/>
      <c r="W18" s="1478"/>
      <c r="X18" s="1478"/>
      <c r="Y18" s="1477"/>
      <c r="Z18" s="1478"/>
      <c r="AA18" s="1478"/>
      <c r="AB18" s="1478"/>
      <c r="AC18" s="1477"/>
      <c r="AD18" s="1478"/>
      <c r="AE18" s="1478"/>
      <c r="AF18" s="1478"/>
      <c r="AG18" s="1477"/>
      <c r="AH18" s="1478"/>
      <c r="AI18" s="1478"/>
      <c r="AJ18" s="1478"/>
      <c r="AK18" s="1477"/>
      <c r="AL18" s="1478"/>
      <c r="AM18" s="1478"/>
      <c r="AN18" s="1478"/>
      <c r="AO18" s="1477"/>
      <c r="AP18" s="1478"/>
      <c r="AQ18" s="1478"/>
      <c r="AR18" s="1478"/>
      <c r="AS18" s="1477"/>
      <c r="AT18" s="1447"/>
      <c r="AU18" s="1477"/>
      <c r="AV18" s="1477"/>
      <c r="AW18" s="1477"/>
      <c r="AX18" s="1509"/>
      <c r="AY18" s="1517"/>
      <c r="AZ18" s="1517"/>
      <c r="BA18" s="1028"/>
      <c r="BB18" s="1056"/>
      <c r="BC18" s="2019"/>
      <c r="BD18" s="1460"/>
      <c r="BE18" s="2022"/>
      <c r="BF18" s="2022"/>
      <c r="BG18" s="2022"/>
      <c r="BH18" s="2022"/>
      <c r="BI18" s="2022"/>
      <c r="BJ18" s="1509"/>
      <c r="BK18" s="1509"/>
      <c r="BL18" s="1447"/>
      <c r="BM18" s="1447"/>
      <c r="BN18" s="1054"/>
      <c r="BO18" s="1054"/>
      <c r="BP18" s="979"/>
      <c r="BQ18" s="1266"/>
      <c r="BR18" s="1226"/>
      <c r="BS18" s="1181"/>
      <c r="BV18" s="1181"/>
    </row>
    <row r="19" spans="1:74" ht="12.75" customHeight="1" x14ac:dyDescent="0.2">
      <c r="A19" s="970"/>
      <c r="B19" s="969" t="s">
        <v>304</v>
      </c>
      <c r="C19" s="1921">
        <v>249</v>
      </c>
      <c r="D19" s="1056">
        <v>3.9386270167668457E-2</v>
      </c>
      <c r="E19" s="937"/>
      <c r="F19" s="1400"/>
      <c r="G19" s="1400"/>
      <c r="H19" s="1400"/>
      <c r="I19" s="2303">
        <v>6571</v>
      </c>
      <c r="J19" s="1478">
        <v>7926</v>
      </c>
      <c r="K19" s="1478">
        <v>5284</v>
      </c>
      <c r="L19" s="1478">
        <v>5083</v>
      </c>
      <c r="M19" s="1477">
        <v>6322</v>
      </c>
      <c r="N19" s="1478">
        <v>8508</v>
      </c>
      <c r="O19" s="1478">
        <v>4153</v>
      </c>
      <c r="P19" s="1478">
        <v>6897</v>
      </c>
      <c r="Q19" s="1477">
        <v>8588</v>
      </c>
      <c r="R19" s="1478">
        <v>4083</v>
      </c>
      <c r="S19" s="1478">
        <v>8715</v>
      </c>
      <c r="T19" s="1478">
        <v>4407</v>
      </c>
      <c r="U19" s="1477">
        <v>3869</v>
      </c>
      <c r="V19" s="1478">
        <v>4588</v>
      </c>
      <c r="W19" s="1478">
        <v>4373</v>
      </c>
      <c r="X19" s="1478">
        <v>2709</v>
      </c>
      <c r="Y19" s="1477">
        <v>3594</v>
      </c>
      <c r="Z19" s="1478">
        <v>2109</v>
      </c>
      <c r="AA19" s="1478">
        <v>2704</v>
      </c>
      <c r="AB19" s="1478">
        <v>613</v>
      </c>
      <c r="AC19" s="1477">
        <v>-1</v>
      </c>
      <c r="AD19" s="1478">
        <v>106</v>
      </c>
      <c r="AE19" s="1478">
        <v>7</v>
      </c>
      <c r="AF19" s="1478">
        <v>-2</v>
      </c>
      <c r="AG19" s="1477"/>
      <c r="AH19" s="1478"/>
      <c r="AI19" s="1478"/>
      <c r="AJ19" s="1478"/>
      <c r="AK19" s="1477"/>
      <c r="AL19" s="1478"/>
      <c r="AM19" s="1478"/>
      <c r="AN19" s="1478"/>
      <c r="AO19" s="1477"/>
      <c r="AP19" s="1478"/>
      <c r="AQ19" s="1478"/>
      <c r="AR19" s="1478"/>
      <c r="AS19" s="1477"/>
      <c r="AT19" s="1447"/>
      <c r="AU19" s="1477"/>
      <c r="AV19" s="1477"/>
      <c r="AW19" s="1477"/>
      <c r="AX19" s="1509"/>
      <c r="AY19" s="1248">
        <v>24615</v>
      </c>
      <c r="AZ19" s="2018">
        <v>28146</v>
      </c>
      <c r="BA19" s="1028">
        <v>-3531</v>
      </c>
      <c r="BB19" s="1056">
        <v>-0.12545299509699426</v>
      </c>
      <c r="BC19" s="2019"/>
      <c r="BD19" s="1447">
        <v>24615</v>
      </c>
      <c r="BE19" s="2022">
        <v>28146</v>
      </c>
      <c r="BF19" s="2022">
        <v>21074</v>
      </c>
      <c r="BG19" s="2022">
        <v>15264</v>
      </c>
      <c r="BH19" s="2022">
        <v>5425</v>
      </c>
      <c r="BI19" s="2022">
        <v>109</v>
      </c>
      <c r="BJ19" s="1460">
        <v>2225</v>
      </c>
      <c r="BK19" s="1460">
        <v>3522</v>
      </c>
      <c r="BL19" s="1460">
        <v>4944</v>
      </c>
      <c r="BM19" s="1447"/>
      <c r="BN19" s="1054"/>
      <c r="BO19" s="1054"/>
      <c r="BP19" s="979"/>
      <c r="BQ19" s="1266"/>
      <c r="BR19" s="1226"/>
      <c r="BS19" s="1181"/>
      <c r="BV19" s="1181"/>
    </row>
    <row r="20" spans="1:74" ht="12.75" customHeight="1" x14ac:dyDescent="0.2">
      <c r="A20" s="970"/>
      <c r="B20" s="969" t="s">
        <v>305</v>
      </c>
      <c r="C20" s="1922">
        <v>26</v>
      </c>
      <c r="D20" s="1234">
        <v>0</v>
      </c>
      <c r="E20" s="937"/>
      <c r="F20" s="1406"/>
      <c r="G20" s="1406"/>
      <c r="H20" s="1406"/>
      <c r="I20" s="2353">
        <v>26</v>
      </c>
      <c r="J20" s="1507">
        <v>0</v>
      </c>
      <c r="K20" s="1507">
        <v>-1</v>
      </c>
      <c r="L20" s="1507">
        <v>0</v>
      </c>
      <c r="M20" s="1902">
        <v>0</v>
      </c>
      <c r="N20" s="1507">
        <v>0</v>
      </c>
      <c r="O20" s="1507">
        <v>0</v>
      </c>
      <c r="P20" s="1507">
        <v>0</v>
      </c>
      <c r="Q20" s="1902">
        <v>0</v>
      </c>
      <c r="R20" s="1922">
        <v>-39</v>
      </c>
      <c r="S20" s="1507">
        <v>37</v>
      </c>
      <c r="T20" s="1507">
        <v>0</v>
      </c>
      <c r="U20" s="1902">
        <v>0</v>
      </c>
      <c r="V20" s="1922">
        <v>10</v>
      </c>
      <c r="W20" s="1507">
        <v>269</v>
      </c>
      <c r="X20" s="1507">
        <v>82</v>
      </c>
      <c r="Y20" s="1507">
        <v>27</v>
      </c>
      <c r="Z20" s="1922">
        <v>0</v>
      </c>
      <c r="AA20" s="1507">
        <v>0</v>
      </c>
      <c r="AB20" s="1507">
        <v>0</v>
      </c>
      <c r="AC20" s="1902">
        <v>0</v>
      </c>
      <c r="AD20" s="1507">
        <v>0</v>
      </c>
      <c r="AE20" s="1507">
        <v>0</v>
      </c>
      <c r="AF20" s="1507">
        <v>0</v>
      </c>
      <c r="AG20" s="1477"/>
      <c r="AH20" s="1478"/>
      <c r="AI20" s="1478"/>
      <c r="AJ20" s="1478"/>
      <c r="AK20" s="1477"/>
      <c r="AL20" s="1478"/>
      <c r="AM20" s="1478"/>
      <c r="AN20" s="1478"/>
      <c r="AO20" s="1477"/>
      <c r="AP20" s="1478"/>
      <c r="AQ20" s="1478"/>
      <c r="AR20" s="1478"/>
      <c r="AS20" s="1477"/>
      <c r="AT20" s="1447"/>
      <c r="AU20" s="1477"/>
      <c r="AV20" s="1477"/>
      <c r="AW20" s="1477"/>
      <c r="AX20" s="1509"/>
      <c r="AY20" s="1300">
        <v>-1</v>
      </c>
      <c r="AZ20" s="1988">
        <v>0</v>
      </c>
      <c r="BA20" s="1507">
        <v>-1</v>
      </c>
      <c r="BB20" s="1234">
        <v>0</v>
      </c>
      <c r="BC20" s="2019"/>
      <c r="BD20" s="1551">
        <v>-1</v>
      </c>
      <c r="BE20" s="2023">
        <v>0</v>
      </c>
      <c r="BF20" s="2023">
        <v>-2</v>
      </c>
      <c r="BG20" s="2024">
        <v>388</v>
      </c>
      <c r="BH20" s="2024">
        <v>0</v>
      </c>
      <c r="BI20" s="2024">
        <v>0</v>
      </c>
      <c r="BJ20" s="1553">
        <v>45</v>
      </c>
      <c r="BK20" s="1553">
        <v>413</v>
      </c>
      <c r="BL20" s="1553">
        <v>396</v>
      </c>
      <c r="BM20" s="1447"/>
      <c r="BN20" s="1054"/>
      <c r="BO20" s="1054"/>
      <c r="BP20" s="979"/>
      <c r="BQ20" s="1266"/>
      <c r="BR20" s="1226"/>
      <c r="BS20" s="1181"/>
      <c r="BV20" s="1181"/>
    </row>
    <row r="21" spans="1:74" ht="12.75" customHeight="1" x14ac:dyDescent="0.2">
      <c r="A21" s="971"/>
      <c r="B21" s="1228" t="s">
        <v>209</v>
      </c>
      <c r="C21" s="1921">
        <v>275</v>
      </c>
      <c r="D21" s="1056">
        <v>4.3498892755457132E-2</v>
      </c>
      <c r="E21" s="937"/>
      <c r="F21" s="1400">
        <v>0</v>
      </c>
      <c r="G21" s="1400">
        <v>0</v>
      </c>
      <c r="H21" s="1400">
        <v>0</v>
      </c>
      <c r="I21" s="2303">
        <v>6597</v>
      </c>
      <c r="J21" s="1478">
        <v>7926</v>
      </c>
      <c r="K21" s="1478">
        <v>5283</v>
      </c>
      <c r="L21" s="1478">
        <v>5083</v>
      </c>
      <c r="M21" s="1477">
        <v>6322</v>
      </c>
      <c r="N21" s="1478">
        <v>8508</v>
      </c>
      <c r="O21" s="1478">
        <v>4153</v>
      </c>
      <c r="P21" s="1478">
        <v>6897</v>
      </c>
      <c r="Q21" s="1477">
        <v>8588</v>
      </c>
      <c r="R21" s="1478">
        <v>4044</v>
      </c>
      <c r="S21" s="1478">
        <v>8752</v>
      </c>
      <c r="T21" s="1478">
        <v>4407</v>
      </c>
      <c r="U21" s="1477">
        <v>3869</v>
      </c>
      <c r="V21" s="1478">
        <v>4598</v>
      </c>
      <c r="W21" s="1478">
        <v>4642</v>
      </c>
      <c r="X21" s="1478">
        <v>2791</v>
      </c>
      <c r="Y21" s="1477">
        <v>3621</v>
      </c>
      <c r="Z21" s="1478">
        <v>2109</v>
      </c>
      <c r="AA21" s="1478">
        <v>2704</v>
      </c>
      <c r="AB21" s="1478">
        <v>613</v>
      </c>
      <c r="AC21" s="1477">
        <v>-1</v>
      </c>
      <c r="AD21" s="1478">
        <v>106</v>
      </c>
      <c r="AE21" s="1478">
        <v>7</v>
      </c>
      <c r="AF21" s="1478">
        <v>-2</v>
      </c>
      <c r="AG21" s="1477">
        <v>-2</v>
      </c>
      <c r="AH21" s="1478">
        <v>2008</v>
      </c>
      <c r="AI21" s="1478">
        <v>1</v>
      </c>
      <c r="AJ21" s="1478" t="e">
        <v>#REF!</v>
      </c>
      <c r="AK21" s="1477" t="e">
        <v>#REF!</v>
      </c>
      <c r="AL21" s="1478" t="e">
        <v>#REF!</v>
      </c>
      <c r="AM21" s="1478" t="e">
        <v>#REF!</v>
      </c>
      <c r="AN21" s="1478" t="e">
        <v>#REF!</v>
      </c>
      <c r="AO21" s="1477" t="e">
        <v>#REF!</v>
      </c>
      <c r="AP21" s="1478" t="e">
        <v>#REF!</v>
      </c>
      <c r="AQ21" s="1478" t="e">
        <v>#REF!</v>
      </c>
      <c r="AR21" s="1478" t="e">
        <v>#REF!</v>
      </c>
      <c r="AS21" s="1477" t="e">
        <v>#REF!</v>
      </c>
      <c r="AT21" s="1504" t="e">
        <v>#REF!</v>
      </c>
      <c r="AU21" s="1479" t="e">
        <v>#REF!</v>
      </c>
      <c r="AV21" s="1477" t="e">
        <v>#REF!</v>
      </c>
      <c r="AW21" s="1477" t="e">
        <v>#REF!</v>
      </c>
      <c r="AX21" s="1509"/>
      <c r="AY21" s="2018">
        <v>24614</v>
      </c>
      <c r="AZ21" s="2018">
        <v>28146</v>
      </c>
      <c r="BA21" s="1028">
        <v>-3532</v>
      </c>
      <c r="BB21" s="1056">
        <v>-0.12548852412420947</v>
      </c>
      <c r="BC21" s="2019"/>
      <c r="BD21" s="1735">
        <v>24614</v>
      </c>
      <c r="BE21" s="2022">
        <v>28146</v>
      </c>
      <c r="BF21" s="2022">
        <v>21072</v>
      </c>
      <c r="BG21" s="2022">
        <v>15652</v>
      </c>
      <c r="BH21" s="2022">
        <v>5425</v>
      </c>
      <c r="BI21" s="2022">
        <v>109</v>
      </c>
      <c r="BJ21" s="1460">
        <v>2271</v>
      </c>
      <c r="BK21" s="1460">
        <v>3935</v>
      </c>
      <c r="BL21" s="1460">
        <v>5340</v>
      </c>
      <c r="BM21" s="1460">
        <v>4828</v>
      </c>
      <c r="BN21" s="1369">
        <v>68889</v>
      </c>
      <c r="BO21" s="1369">
        <v>66027</v>
      </c>
      <c r="BP21" s="1421">
        <v>53976</v>
      </c>
      <c r="BQ21" s="1266"/>
      <c r="BR21" s="1226"/>
      <c r="BS21" s="1181"/>
      <c r="BV21" s="1181"/>
    </row>
    <row r="22" spans="1:74" ht="12.75" customHeight="1" x14ac:dyDescent="0.2">
      <c r="A22" s="971"/>
      <c r="B22" s="1235" t="s">
        <v>66</v>
      </c>
      <c r="C22" s="1921">
        <v>-162</v>
      </c>
      <c r="D22" s="1056">
        <v>-0.18325791855203619</v>
      </c>
      <c r="E22" s="937"/>
      <c r="F22" s="1400"/>
      <c r="G22" s="1400"/>
      <c r="H22" s="1400"/>
      <c r="I22" s="2303">
        <v>722</v>
      </c>
      <c r="J22" s="1478">
        <v>866</v>
      </c>
      <c r="K22" s="1478">
        <v>955</v>
      </c>
      <c r="L22" s="1478">
        <v>946</v>
      </c>
      <c r="M22" s="1477">
        <v>884</v>
      </c>
      <c r="N22" s="1478">
        <v>1026</v>
      </c>
      <c r="O22" s="1478">
        <v>707</v>
      </c>
      <c r="P22" s="1478">
        <v>786</v>
      </c>
      <c r="Q22" s="1477">
        <v>885</v>
      </c>
      <c r="R22" s="1478">
        <v>1335</v>
      </c>
      <c r="S22" s="1248">
        <v>-209</v>
      </c>
      <c r="T22" s="1478">
        <v>1232</v>
      </c>
      <c r="U22" s="1477">
        <v>1008</v>
      </c>
      <c r="V22" s="1478">
        <v>1021</v>
      </c>
      <c r="W22" s="1478">
        <v>726</v>
      </c>
      <c r="X22" s="1478">
        <v>623</v>
      </c>
      <c r="Y22" s="1477">
        <v>392</v>
      </c>
      <c r="Z22" s="1478">
        <v>519</v>
      </c>
      <c r="AA22" s="1478">
        <v>630</v>
      </c>
      <c r="AB22" s="1478">
        <v>174</v>
      </c>
      <c r="AC22" s="1477">
        <v>985</v>
      </c>
      <c r="AD22" s="1478">
        <v>630</v>
      </c>
      <c r="AE22" s="1478">
        <v>8</v>
      </c>
      <c r="AF22" s="1478">
        <v>8</v>
      </c>
      <c r="AG22" s="1477">
        <v>7</v>
      </c>
      <c r="AH22" s="1478">
        <v>11</v>
      </c>
      <c r="AI22" s="1478">
        <v>8</v>
      </c>
      <c r="AJ22" s="1478" t="e">
        <v>#REF!</v>
      </c>
      <c r="AK22" s="1477" t="e">
        <v>#REF!</v>
      </c>
      <c r="AL22" s="1478" t="e">
        <v>#REF!</v>
      </c>
      <c r="AM22" s="1478" t="e">
        <v>#REF!</v>
      </c>
      <c r="AN22" s="1478" t="e">
        <v>#REF!</v>
      </c>
      <c r="AO22" s="1477" t="e">
        <v>#REF!</v>
      </c>
      <c r="AP22" s="1478" t="e">
        <v>#REF!</v>
      </c>
      <c r="AQ22" s="1478" t="e">
        <v>#REF!</v>
      </c>
      <c r="AR22" s="1478" t="e">
        <v>#REF!</v>
      </c>
      <c r="AS22" s="1477" t="e">
        <v>#REF!</v>
      </c>
      <c r="AT22" s="1504" t="e">
        <v>#REF!</v>
      </c>
      <c r="AU22" s="1479" t="e">
        <v>#REF!</v>
      </c>
      <c r="AV22" s="1477" t="e">
        <v>#REF!</v>
      </c>
      <c r="AW22" s="1477" t="e">
        <v>#REF!</v>
      </c>
      <c r="AX22" s="1509"/>
      <c r="AY22" s="2018">
        <v>3651</v>
      </c>
      <c r="AZ22" s="2018">
        <v>3404</v>
      </c>
      <c r="BA22" s="1028">
        <v>247</v>
      </c>
      <c r="BB22" s="1056">
        <v>7.2561692126909522E-2</v>
      </c>
      <c r="BC22" s="2019"/>
      <c r="BD22" s="1447">
        <v>3651</v>
      </c>
      <c r="BE22" s="2022">
        <v>3404</v>
      </c>
      <c r="BF22" s="2022">
        <v>3366</v>
      </c>
      <c r="BG22" s="2022">
        <v>2762</v>
      </c>
      <c r="BH22" s="2022">
        <v>2308</v>
      </c>
      <c r="BI22" s="2022">
        <v>653</v>
      </c>
      <c r="BJ22" s="1460">
        <v>34</v>
      </c>
      <c r="BK22" s="1460">
        <v>54</v>
      </c>
      <c r="BL22" s="1460">
        <v>47</v>
      </c>
      <c r="BM22" s="1460">
        <v>39</v>
      </c>
      <c r="BN22" s="1054">
        <v>3210</v>
      </c>
      <c r="BO22" s="1054">
        <v>8795</v>
      </c>
      <c r="BP22" s="979">
        <v>5858</v>
      </c>
      <c r="BQ22" s="1266"/>
      <c r="BR22" s="1226"/>
      <c r="BS22" s="1181"/>
      <c r="BV22" s="1181"/>
    </row>
    <row r="23" spans="1:74" ht="12.75" customHeight="1" x14ac:dyDescent="0.2">
      <c r="A23" s="971"/>
      <c r="B23" s="1235" t="s">
        <v>92</v>
      </c>
      <c r="C23" s="1921">
        <v>28</v>
      </c>
      <c r="D23" s="1056">
        <v>5.5666003976143144E-2</v>
      </c>
      <c r="E23" s="937"/>
      <c r="F23" s="931"/>
      <c r="G23" s="931"/>
      <c r="H23" s="931"/>
      <c r="I23" s="2295">
        <v>531</v>
      </c>
      <c r="J23" s="1025">
        <v>516</v>
      </c>
      <c r="K23" s="1025">
        <v>567</v>
      </c>
      <c r="L23" s="1025">
        <v>514</v>
      </c>
      <c r="M23" s="1053">
        <v>503</v>
      </c>
      <c r="N23" s="1025">
        <v>549</v>
      </c>
      <c r="O23" s="1025">
        <v>519</v>
      </c>
      <c r="P23" s="1025">
        <v>563</v>
      </c>
      <c r="Q23" s="1053">
        <v>418</v>
      </c>
      <c r="R23" s="1025">
        <v>441</v>
      </c>
      <c r="S23" s="1025">
        <v>472</v>
      </c>
      <c r="T23" s="1025">
        <v>389</v>
      </c>
      <c r="U23" s="1053">
        <v>489</v>
      </c>
      <c r="V23" s="1025">
        <v>359</v>
      </c>
      <c r="W23" s="1025">
        <v>355</v>
      </c>
      <c r="X23" s="1025">
        <v>351</v>
      </c>
      <c r="Y23" s="1053">
        <v>290</v>
      </c>
      <c r="Z23" s="979">
        <v>229</v>
      </c>
      <c r="AA23" s="1025">
        <v>142</v>
      </c>
      <c r="AB23" s="1025">
        <v>0</v>
      </c>
      <c r="AC23" s="1053">
        <v>0</v>
      </c>
      <c r="AD23" s="979">
        <v>0</v>
      </c>
      <c r="AE23" s="1025">
        <v>0</v>
      </c>
      <c r="AF23" s="1025">
        <v>0</v>
      </c>
      <c r="AG23" s="1053">
        <v>0</v>
      </c>
      <c r="AH23" s="979">
        <v>0</v>
      </c>
      <c r="AI23" s="1025">
        <v>0</v>
      </c>
      <c r="AJ23" s="1025" t="e">
        <v>#REF!</v>
      </c>
      <c r="AK23" s="1053" t="e">
        <v>#REF!</v>
      </c>
      <c r="AL23" s="1478" t="e">
        <v>#REF!</v>
      </c>
      <c r="AM23" s="1478" t="e">
        <v>#REF!</v>
      </c>
      <c r="AN23" s="1478" t="e">
        <v>#REF!</v>
      </c>
      <c r="AO23" s="1477" t="e">
        <v>#REF!</v>
      </c>
      <c r="AP23" s="1478" t="e">
        <v>#REF!</v>
      </c>
      <c r="AQ23" s="1478" t="e">
        <v>#REF!</v>
      </c>
      <c r="AR23" s="1478" t="e">
        <v>#REF!</v>
      </c>
      <c r="AS23" s="1477" t="e">
        <v>#REF!</v>
      </c>
      <c r="AT23" s="1447" t="e">
        <v>#REF!</v>
      </c>
      <c r="AU23" s="1477" t="e">
        <v>#REF!</v>
      </c>
      <c r="AV23" s="1477" t="e">
        <v>#REF!</v>
      </c>
      <c r="AW23" s="1477" t="e">
        <v>#REF!</v>
      </c>
      <c r="AX23" s="1509"/>
      <c r="AY23" s="2018">
        <v>2100</v>
      </c>
      <c r="AZ23" s="2018">
        <v>2049</v>
      </c>
      <c r="BA23" s="1025">
        <v>51</v>
      </c>
      <c r="BB23" s="1056">
        <v>2.4890190336749635E-2</v>
      </c>
      <c r="BC23" s="2019"/>
      <c r="BD23" s="1447">
        <v>2100</v>
      </c>
      <c r="BE23" s="2022">
        <v>2049</v>
      </c>
      <c r="BF23" s="2022">
        <v>1791</v>
      </c>
      <c r="BG23" s="2022">
        <v>1355</v>
      </c>
      <c r="BH23" s="2022">
        <v>371</v>
      </c>
      <c r="BI23" s="2020">
        <v>0</v>
      </c>
      <c r="BJ23" s="1465">
        <v>0</v>
      </c>
      <c r="BK23" s="1465">
        <v>1</v>
      </c>
      <c r="BL23" s="1465">
        <v>0</v>
      </c>
      <c r="BM23" s="1465">
        <v>0</v>
      </c>
      <c r="BN23" s="1054">
        <v>1190</v>
      </c>
      <c r="BO23" s="1054">
        <v>1163</v>
      </c>
      <c r="BP23" s="979">
        <v>1117</v>
      </c>
      <c r="BQ23" s="1266"/>
      <c r="BR23" s="1226"/>
      <c r="BS23" s="1181"/>
      <c r="BV23" s="1181"/>
    </row>
    <row r="24" spans="1:74" ht="12.75" customHeight="1" x14ac:dyDescent="0.2">
      <c r="A24" s="971"/>
      <c r="B24" s="1235" t="s">
        <v>68</v>
      </c>
      <c r="C24" s="1921">
        <v>36</v>
      </c>
      <c r="D24" s="1056">
        <v>7.4534161490683232E-2</v>
      </c>
      <c r="E24" s="937"/>
      <c r="F24" s="1400"/>
      <c r="G24" s="1400"/>
      <c r="H24" s="1400"/>
      <c r="I24" s="2303">
        <v>519</v>
      </c>
      <c r="J24" s="1478">
        <v>555</v>
      </c>
      <c r="K24" s="1478">
        <v>714</v>
      </c>
      <c r="L24" s="1478">
        <v>509</v>
      </c>
      <c r="M24" s="1477">
        <v>483</v>
      </c>
      <c r="N24" s="1478">
        <v>479</v>
      </c>
      <c r="O24" s="1478">
        <v>218</v>
      </c>
      <c r="P24" s="1478">
        <v>716</v>
      </c>
      <c r="Q24" s="1477">
        <v>491</v>
      </c>
      <c r="R24" s="1478">
        <v>499</v>
      </c>
      <c r="S24" s="1478">
        <v>427</v>
      </c>
      <c r="T24" s="1478">
        <v>434</v>
      </c>
      <c r="U24" s="1477">
        <v>275</v>
      </c>
      <c r="V24" s="1478">
        <v>453</v>
      </c>
      <c r="W24" s="1478">
        <v>425</v>
      </c>
      <c r="X24" s="1478">
        <v>586</v>
      </c>
      <c r="Y24" s="1477">
        <v>345</v>
      </c>
      <c r="Z24" s="1478">
        <v>243</v>
      </c>
      <c r="AA24" s="1478">
        <v>219</v>
      </c>
      <c r="AB24" s="1478">
        <v>134</v>
      </c>
      <c r="AC24" s="1477">
        <v>138</v>
      </c>
      <c r="AD24" s="1478">
        <v>103</v>
      </c>
      <c r="AE24" s="1478">
        <v>13</v>
      </c>
      <c r="AF24" s="1478">
        <v>14</v>
      </c>
      <c r="AG24" s="1477">
        <v>14</v>
      </c>
      <c r="AH24" s="1478">
        <v>14</v>
      </c>
      <c r="AI24" s="1478">
        <v>13</v>
      </c>
      <c r="AJ24" s="1478" t="e">
        <v>#REF!</v>
      </c>
      <c r="AK24" s="1477" t="e">
        <v>#REF!</v>
      </c>
      <c r="AL24" s="1478" t="e">
        <v>#REF!</v>
      </c>
      <c r="AM24" s="1478" t="e">
        <v>#REF!</v>
      </c>
      <c r="AN24" s="1478" t="e">
        <v>#REF!</v>
      </c>
      <c r="AO24" s="1477" t="e">
        <v>#REF!</v>
      </c>
      <c r="AP24" s="1478" t="e">
        <v>#REF!</v>
      </c>
      <c r="AQ24" s="1478" t="e">
        <v>#REF!</v>
      </c>
      <c r="AR24" s="1478" t="e">
        <v>#REF!</v>
      </c>
      <c r="AS24" s="1477" t="e">
        <v>#REF!</v>
      </c>
      <c r="AT24" s="1447" t="e">
        <v>#REF!</v>
      </c>
      <c r="AU24" s="1477" t="e">
        <v>#REF!</v>
      </c>
      <c r="AV24" s="1477" t="e">
        <v>#REF!</v>
      </c>
      <c r="AW24" s="1477" t="e">
        <v>#REF!</v>
      </c>
      <c r="AX24" s="1509"/>
      <c r="AY24" s="2018">
        <v>2261</v>
      </c>
      <c r="AZ24" s="2018">
        <v>1904</v>
      </c>
      <c r="BA24" s="1028">
        <v>357</v>
      </c>
      <c r="BB24" s="1056">
        <v>0.1875</v>
      </c>
      <c r="BC24" s="2019"/>
      <c r="BD24" s="1447">
        <v>2261</v>
      </c>
      <c r="BE24" s="2022">
        <v>1904</v>
      </c>
      <c r="BF24" s="2022">
        <v>1635</v>
      </c>
      <c r="BG24" s="2022">
        <v>1809</v>
      </c>
      <c r="BH24" s="2022">
        <v>734</v>
      </c>
      <c r="BI24" s="2020">
        <v>144</v>
      </c>
      <c r="BJ24" s="1465">
        <v>55</v>
      </c>
      <c r="BK24" s="1465">
        <v>55</v>
      </c>
      <c r="BL24" s="1465">
        <v>51</v>
      </c>
      <c r="BM24" s="1465">
        <v>57</v>
      </c>
      <c r="BN24" s="1054">
        <v>2139</v>
      </c>
      <c r="BO24" s="1054">
        <v>2143</v>
      </c>
      <c r="BP24" s="979">
        <v>2573</v>
      </c>
      <c r="BQ24" s="1266"/>
      <c r="BR24" s="1226"/>
      <c r="BS24" s="1181"/>
      <c r="BV24" s="1181"/>
    </row>
    <row r="25" spans="1:74" ht="12.75" customHeight="1" x14ac:dyDescent="0.2">
      <c r="A25" s="971"/>
      <c r="B25" s="1235" t="s">
        <v>69</v>
      </c>
      <c r="C25" s="1921">
        <v>0</v>
      </c>
      <c r="D25" s="1056">
        <v>0</v>
      </c>
      <c r="E25" s="937"/>
      <c r="F25" s="931"/>
      <c r="G25" s="931"/>
      <c r="H25" s="931"/>
      <c r="I25" s="2303">
        <v>308</v>
      </c>
      <c r="J25" s="1025">
        <v>292</v>
      </c>
      <c r="K25" s="1025">
        <v>259</v>
      </c>
      <c r="L25" s="1025">
        <v>406</v>
      </c>
      <c r="M25" s="1477">
        <v>308</v>
      </c>
      <c r="N25" s="1025">
        <v>331</v>
      </c>
      <c r="O25" s="1025">
        <v>306</v>
      </c>
      <c r="P25" s="1025">
        <v>286</v>
      </c>
      <c r="Q25" s="1477">
        <v>218</v>
      </c>
      <c r="R25" s="1025">
        <v>249</v>
      </c>
      <c r="S25" s="1025">
        <v>262</v>
      </c>
      <c r="T25" s="1025">
        <v>183</v>
      </c>
      <c r="U25" s="1477">
        <v>358</v>
      </c>
      <c r="V25" s="1025">
        <v>196</v>
      </c>
      <c r="W25" s="1025">
        <v>205</v>
      </c>
      <c r="X25" s="1025">
        <v>134</v>
      </c>
      <c r="Y25" s="1477">
        <v>172</v>
      </c>
      <c r="Z25" s="1478">
        <v>168</v>
      </c>
      <c r="AA25" s="1025">
        <v>103</v>
      </c>
      <c r="AB25" s="1025">
        <v>42</v>
      </c>
      <c r="AC25" s="1477">
        <v>22</v>
      </c>
      <c r="AD25" s="1478">
        <v>20</v>
      </c>
      <c r="AE25" s="1025">
        <v>0</v>
      </c>
      <c r="AF25" s="1025">
        <v>0</v>
      </c>
      <c r="AG25" s="1053">
        <v>0</v>
      </c>
      <c r="AH25" s="979">
        <v>0</v>
      </c>
      <c r="AI25" s="1025">
        <v>0</v>
      </c>
      <c r="AJ25" s="1025" t="e">
        <v>#REF!</v>
      </c>
      <c r="AK25" s="1053" t="e">
        <v>#REF!</v>
      </c>
      <c r="AL25" s="1478" t="e">
        <v>#REF!</v>
      </c>
      <c r="AM25" s="1478" t="e">
        <v>#REF!</v>
      </c>
      <c r="AN25" s="1478" t="e">
        <v>#REF!</v>
      </c>
      <c r="AO25" s="1477" t="e">
        <v>#REF!</v>
      </c>
      <c r="AP25" s="1478" t="e">
        <v>#REF!</v>
      </c>
      <c r="AQ25" s="1478" t="e">
        <v>#REF!</v>
      </c>
      <c r="AR25" s="1478" t="e">
        <v>#REF!</v>
      </c>
      <c r="AS25" s="1477" t="e">
        <v>#REF!</v>
      </c>
      <c r="AT25" s="1447" t="e">
        <v>#REF!</v>
      </c>
      <c r="AU25" s="1477" t="e">
        <v>#REF!</v>
      </c>
      <c r="AV25" s="1477" t="e">
        <v>#REF!</v>
      </c>
      <c r="AW25" s="1477" t="e">
        <v>#REF!</v>
      </c>
      <c r="AX25" s="1509"/>
      <c r="AY25" s="2018">
        <v>1265</v>
      </c>
      <c r="AZ25" s="2018">
        <v>1141</v>
      </c>
      <c r="BA25" s="1028">
        <v>124</v>
      </c>
      <c r="BB25" s="1056">
        <v>0.10867659947414549</v>
      </c>
      <c r="BC25" s="2019"/>
      <c r="BD25" s="1447">
        <v>1265</v>
      </c>
      <c r="BE25" s="2022">
        <v>1141</v>
      </c>
      <c r="BF25" s="2022">
        <v>1052</v>
      </c>
      <c r="BG25" s="2022">
        <v>707</v>
      </c>
      <c r="BH25" s="2022">
        <v>335</v>
      </c>
      <c r="BI25" s="2020">
        <v>20</v>
      </c>
      <c r="BJ25" s="1465">
        <v>0</v>
      </c>
      <c r="BK25" s="1465">
        <v>-2</v>
      </c>
      <c r="BL25" s="1465">
        <v>0</v>
      </c>
      <c r="BM25" s="1465">
        <v>0</v>
      </c>
      <c r="BN25" s="1054">
        <v>1440</v>
      </c>
      <c r="BO25" s="1054">
        <v>1036</v>
      </c>
      <c r="BP25" s="979">
        <v>837</v>
      </c>
      <c r="BQ25" s="1266"/>
      <c r="BR25" s="1226"/>
      <c r="BS25" s="1181"/>
      <c r="BV25" s="1181"/>
    </row>
    <row r="26" spans="1:74" ht="12.75" customHeight="1" x14ac:dyDescent="0.2">
      <c r="A26" s="971"/>
      <c r="B26" s="1235" t="s">
        <v>64</v>
      </c>
      <c r="C26" s="1921">
        <v>15</v>
      </c>
      <c r="D26" s="1056">
        <v>0.78947368421052633</v>
      </c>
      <c r="E26" s="937"/>
      <c r="F26" s="931"/>
      <c r="G26" s="931"/>
      <c r="H26" s="931"/>
      <c r="I26" s="2303">
        <v>34</v>
      </c>
      <c r="J26" s="1025">
        <v>35</v>
      </c>
      <c r="K26" s="1025">
        <v>19</v>
      </c>
      <c r="L26" s="1025">
        <v>23</v>
      </c>
      <c r="M26" s="1477">
        <v>19</v>
      </c>
      <c r="N26" s="1025">
        <v>-1</v>
      </c>
      <c r="O26" s="1025">
        <v>15</v>
      </c>
      <c r="P26" s="1025">
        <v>48</v>
      </c>
      <c r="Q26" s="1477">
        <v>14</v>
      </c>
      <c r="R26" s="1025">
        <v>15</v>
      </c>
      <c r="S26" s="1025">
        <v>20</v>
      </c>
      <c r="T26" s="1025">
        <v>9</v>
      </c>
      <c r="U26" s="1477">
        <v>9</v>
      </c>
      <c r="V26" s="1025">
        <v>8</v>
      </c>
      <c r="W26" s="1025">
        <v>5</v>
      </c>
      <c r="X26" s="1025">
        <v>5</v>
      </c>
      <c r="Y26" s="1477">
        <v>11</v>
      </c>
      <c r="Z26" s="1478">
        <v>6</v>
      </c>
      <c r="AA26" s="1025">
        <v>1</v>
      </c>
      <c r="AB26" s="1025">
        <v>1</v>
      </c>
      <c r="AC26" s="1477">
        <v>1</v>
      </c>
      <c r="AD26" s="1478">
        <v>2</v>
      </c>
      <c r="AE26" s="1025">
        <v>0</v>
      </c>
      <c r="AF26" s="1478">
        <v>-1</v>
      </c>
      <c r="AG26" s="1053">
        <v>0</v>
      </c>
      <c r="AH26" s="979">
        <v>0</v>
      </c>
      <c r="AI26" s="1025">
        <v>0</v>
      </c>
      <c r="AJ26" s="1025" t="e">
        <v>#REF!</v>
      </c>
      <c r="AK26" s="1477" t="e">
        <v>#REF!</v>
      </c>
      <c r="AL26" s="1478" t="e">
        <v>#REF!</v>
      </c>
      <c r="AM26" s="1478" t="e">
        <v>#REF!</v>
      </c>
      <c r="AN26" s="1478" t="e">
        <v>#REF!</v>
      </c>
      <c r="AO26" s="1477" t="e">
        <v>#REF!</v>
      </c>
      <c r="AP26" s="1478" t="e">
        <v>#REF!</v>
      </c>
      <c r="AQ26" s="1028" t="e">
        <v>#REF!</v>
      </c>
      <c r="AR26" s="1028" t="e">
        <v>#REF!</v>
      </c>
      <c r="AS26" s="1059" t="e">
        <v>#REF!</v>
      </c>
      <c r="AT26" s="1060" t="e">
        <v>#REF!</v>
      </c>
      <c r="AU26" s="1477" t="e">
        <v>#REF!</v>
      </c>
      <c r="AV26" s="1477" t="e">
        <v>#REF!</v>
      </c>
      <c r="AW26" s="1059" t="e">
        <v>#REF!</v>
      </c>
      <c r="AX26" s="1509"/>
      <c r="AY26" s="2018">
        <v>96</v>
      </c>
      <c r="AZ26" s="2018">
        <v>76</v>
      </c>
      <c r="BA26" s="1028">
        <v>20</v>
      </c>
      <c r="BB26" s="1056">
        <v>0.26315789473684209</v>
      </c>
      <c r="BC26" s="2019"/>
      <c r="BD26" s="1447">
        <v>96</v>
      </c>
      <c r="BE26" s="2022">
        <v>76</v>
      </c>
      <c r="BF26" s="2022">
        <v>53</v>
      </c>
      <c r="BG26" s="2022">
        <v>29</v>
      </c>
      <c r="BH26" s="2022">
        <v>9</v>
      </c>
      <c r="BI26" s="2020">
        <v>1</v>
      </c>
      <c r="BJ26" s="1465">
        <v>1</v>
      </c>
      <c r="BK26" s="1465">
        <v>0</v>
      </c>
      <c r="BL26" s="1465">
        <v>2</v>
      </c>
      <c r="BM26" s="1465">
        <v>2</v>
      </c>
      <c r="BN26" s="1054">
        <v>5</v>
      </c>
      <c r="BO26" s="1054">
        <v>1</v>
      </c>
      <c r="BP26" s="979">
        <v>35</v>
      </c>
      <c r="BQ26" s="1266"/>
      <c r="BR26" s="1226"/>
      <c r="BS26" s="1181"/>
      <c r="BV26" s="1181"/>
    </row>
    <row r="27" spans="1:74" ht="12.75" customHeight="1" x14ac:dyDescent="0.2">
      <c r="A27" s="971"/>
      <c r="B27" s="1235" t="s">
        <v>89</v>
      </c>
      <c r="C27" s="1921">
        <v>102</v>
      </c>
      <c r="D27" s="1056">
        <v>8.9395267309377732E-2</v>
      </c>
      <c r="E27" s="1205"/>
      <c r="F27" s="1400"/>
      <c r="G27" s="1400"/>
      <c r="H27" s="1400"/>
      <c r="I27" s="2303">
        <v>1243</v>
      </c>
      <c r="J27" s="1478">
        <v>1563</v>
      </c>
      <c r="K27" s="1478">
        <v>1240</v>
      </c>
      <c r="L27" s="1478">
        <v>1903</v>
      </c>
      <c r="M27" s="1477">
        <v>1141</v>
      </c>
      <c r="N27" s="1478">
        <v>1124</v>
      </c>
      <c r="O27" s="1478">
        <v>1906</v>
      </c>
      <c r="P27" s="1478">
        <v>1371</v>
      </c>
      <c r="Q27" s="1477">
        <v>1407</v>
      </c>
      <c r="R27" s="1478">
        <v>1601</v>
      </c>
      <c r="S27" s="1478">
        <v>1242</v>
      </c>
      <c r="T27" s="1478">
        <v>1382</v>
      </c>
      <c r="U27" s="1477">
        <v>1229</v>
      </c>
      <c r="V27" s="1478">
        <v>1672</v>
      </c>
      <c r="W27" s="1478">
        <v>996</v>
      </c>
      <c r="X27" s="1478">
        <v>1727</v>
      </c>
      <c r="Y27" s="1477">
        <v>908</v>
      </c>
      <c r="Z27" s="1478">
        <v>932</v>
      </c>
      <c r="AA27" s="1478">
        <v>861</v>
      </c>
      <c r="AB27" s="1478">
        <v>212</v>
      </c>
      <c r="AC27" s="1477">
        <v>327</v>
      </c>
      <c r="AD27" s="1478">
        <v>354</v>
      </c>
      <c r="AE27" s="1478">
        <v>123</v>
      </c>
      <c r="AF27" s="1478">
        <v>15</v>
      </c>
      <c r="AG27" s="1477">
        <v>24</v>
      </c>
      <c r="AH27" s="1478">
        <v>-289</v>
      </c>
      <c r="AI27" s="1478">
        <v>154</v>
      </c>
      <c r="AJ27" s="1478" t="e">
        <v>#REF!</v>
      </c>
      <c r="AK27" s="1477" t="e">
        <v>#REF!</v>
      </c>
      <c r="AL27" s="1478" t="e">
        <v>#REF!</v>
      </c>
      <c r="AM27" s="1478" t="e">
        <v>#REF!</v>
      </c>
      <c r="AN27" s="1478" t="e">
        <v>#REF!</v>
      </c>
      <c r="AO27" s="1477" t="e">
        <v>#REF!</v>
      </c>
      <c r="AP27" s="1478" t="e">
        <v>#REF!</v>
      </c>
      <c r="AQ27" s="1478" t="e">
        <v>#REF!</v>
      </c>
      <c r="AR27" s="1478" t="e">
        <v>#REF!</v>
      </c>
      <c r="AS27" s="1477" t="e">
        <v>#REF!</v>
      </c>
      <c r="AT27" s="1447" t="e">
        <v>#REF!</v>
      </c>
      <c r="AU27" s="1477" t="e">
        <v>#REF!</v>
      </c>
      <c r="AV27" s="1477" t="e">
        <v>#REF!</v>
      </c>
      <c r="AW27" s="1477" t="e">
        <v>#REF!</v>
      </c>
      <c r="AX27" s="1509"/>
      <c r="AY27" s="2018">
        <v>5847</v>
      </c>
      <c r="AZ27" s="2018">
        <v>5808</v>
      </c>
      <c r="BA27" s="1028">
        <v>39</v>
      </c>
      <c r="BB27" s="1056">
        <v>6.7148760330578514E-3</v>
      </c>
      <c r="BC27" s="2019"/>
      <c r="BD27" s="1447">
        <v>5847</v>
      </c>
      <c r="BE27" s="2022">
        <v>5808</v>
      </c>
      <c r="BF27" s="2022">
        <v>5454</v>
      </c>
      <c r="BG27" s="2022">
        <v>5303</v>
      </c>
      <c r="BH27" s="2022">
        <v>2332</v>
      </c>
      <c r="BI27" s="2020">
        <v>516</v>
      </c>
      <c r="BJ27" s="1465">
        <v>92</v>
      </c>
      <c r="BK27" s="1465">
        <v>169</v>
      </c>
      <c r="BL27" s="1465">
        <v>66</v>
      </c>
      <c r="BM27" s="1465">
        <v>66</v>
      </c>
      <c r="BN27" s="1054">
        <v>6374</v>
      </c>
      <c r="BO27" s="1054">
        <v>5879</v>
      </c>
      <c r="BP27" s="979">
        <v>3463</v>
      </c>
      <c r="BQ27" s="1266"/>
      <c r="BR27" s="1226"/>
      <c r="BS27" s="1181"/>
      <c r="BV27" s="1181"/>
    </row>
    <row r="28" spans="1:74" ht="12.75" customHeight="1" x14ac:dyDescent="0.2">
      <c r="A28" s="971"/>
      <c r="B28" s="1235" t="s">
        <v>71</v>
      </c>
      <c r="C28" s="1921">
        <v>-452</v>
      </c>
      <c r="D28" s="1056">
        <v>-0.49291166848418755</v>
      </c>
      <c r="E28" s="937"/>
      <c r="F28" s="931"/>
      <c r="G28" s="931"/>
      <c r="H28" s="931"/>
      <c r="I28" s="2303">
        <v>465</v>
      </c>
      <c r="J28" s="1025">
        <v>954</v>
      </c>
      <c r="K28" s="1025">
        <v>968</v>
      </c>
      <c r="L28" s="1025">
        <v>925</v>
      </c>
      <c r="M28" s="1477">
        <v>917</v>
      </c>
      <c r="N28" s="1025">
        <v>1001</v>
      </c>
      <c r="O28" s="1025">
        <v>944</v>
      </c>
      <c r="P28" s="1025">
        <v>990</v>
      </c>
      <c r="Q28" s="1477">
        <v>963</v>
      </c>
      <c r="R28" s="1025">
        <v>999</v>
      </c>
      <c r="S28" s="1025">
        <v>937</v>
      </c>
      <c r="T28" s="1025">
        <v>905</v>
      </c>
      <c r="U28" s="1477">
        <v>1301</v>
      </c>
      <c r="V28" s="1025">
        <v>1635</v>
      </c>
      <c r="W28" s="1025">
        <v>1624</v>
      </c>
      <c r="X28" s="1025">
        <v>1586</v>
      </c>
      <c r="Y28" s="1477">
        <v>1877</v>
      </c>
      <c r="Z28" s="1478">
        <v>1078</v>
      </c>
      <c r="AA28" s="1025">
        <v>906</v>
      </c>
      <c r="AB28" s="1025">
        <v>36</v>
      </c>
      <c r="AC28" s="1477">
        <v>28</v>
      </c>
      <c r="AD28" s="1478">
        <v>26</v>
      </c>
      <c r="AE28" s="1025">
        <v>0</v>
      </c>
      <c r="AF28" s="1025">
        <v>0</v>
      </c>
      <c r="AG28" s="1053">
        <v>0</v>
      </c>
      <c r="AH28" s="979">
        <v>0</v>
      </c>
      <c r="AI28" s="1025">
        <v>0</v>
      </c>
      <c r="AJ28" s="1025" t="e">
        <v>#REF!</v>
      </c>
      <c r="AK28" s="1053" t="e">
        <v>#REF!</v>
      </c>
      <c r="AL28" s="1478" t="e">
        <v>#REF!</v>
      </c>
      <c r="AM28" s="1478" t="e">
        <v>#REF!</v>
      </c>
      <c r="AN28" s="1478" t="e">
        <v>#REF!</v>
      </c>
      <c r="AO28" s="1477" t="e">
        <v>#REF!</v>
      </c>
      <c r="AP28" s="1478" t="e">
        <v>#REF!</v>
      </c>
      <c r="AQ28" s="1478" t="e">
        <v>#REF!</v>
      </c>
      <c r="AR28" s="1478" t="e">
        <v>#REF!</v>
      </c>
      <c r="AS28" s="1477" t="e">
        <v>#REF!</v>
      </c>
      <c r="AT28" s="1447" t="e">
        <v>#REF!</v>
      </c>
      <c r="AU28" s="1477" t="e">
        <v>#REF!</v>
      </c>
      <c r="AV28" s="1477" t="e">
        <v>#REF!</v>
      </c>
      <c r="AW28" s="1477" t="e">
        <v>#REF!</v>
      </c>
      <c r="AX28" s="1492"/>
      <c r="AY28" s="1248">
        <v>3764</v>
      </c>
      <c r="AZ28" s="2018">
        <v>3898</v>
      </c>
      <c r="BA28" s="1028">
        <v>-134</v>
      </c>
      <c r="BB28" s="1056">
        <v>-3.4376603386351977E-2</v>
      </c>
      <c r="BC28" s="2019"/>
      <c r="BD28" s="1447">
        <v>3764</v>
      </c>
      <c r="BE28" s="2022">
        <v>3898</v>
      </c>
      <c r="BF28" s="2022">
        <v>4142</v>
      </c>
      <c r="BG28" s="2022">
        <v>6722</v>
      </c>
      <c r="BH28" s="2022">
        <v>2048</v>
      </c>
      <c r="BI28" s="2020">
        <v>26</v>
      </c>
      <c r="BJ28" s="1465">
        <v>0</v>
      </c>
      <c r="BK28" s="1465">
        <v>0</v>
      </c>
      <c r="BL28" s="1465">
        <v>0</v>
      </c>
      <c r="BM28" s="1465">
        <v>0</v>
      </c>
      <c r="BN28" s="1054">
        <v>716</v>
      </c>
      <c r="BO28" s="1054">
        <v>620</v>
      </c>
      <c r="BP28" s="979">
        <v>716</v>
      </c>
      <c r="BQ28" s="1266"/>
      <c r="BR28" s="1226"/>
      <c r="BS28" s="1181"/>
      <c r="BV28" s="1181"/>
    </row>
    <row r="29" spans="1:74" ht="12.75" customHeight="1" x14ac:dyDescent="0.2">
      <c r="A29" s="969"/>
      <c r="B29" s="1235" t="s">
        <v>72</v>
      </c>
      <c r="C29" s="1921">
        <v>-501</v>
      </c>
      <c r="D29" s="1056">
        <v>-1</v>
      </c>
      <c r="E29" s="937"/>
      <c r="F29" s="931"/>
      <c r="G29" s="931"/>
      <c r="H29" s="931"/>
      <c r="I29" s="2391">
        <v>0</v>
      </c>
      <c r="J29" s="1025">
        <v>-297</v>
      </c>
      <c r="K29" s="1025">
        <v>28</v>
      </c>
      <c r="L29" s="1025">
        <v>28</v>
      </c>
      <c r="M29" s="1477">
        <v>501</v>
      </c>
      <c r="N29" s="1025">
        <v>52</v>
      </c>
      <c r="O29" s="1025">
        <v>34</v>
      </c>
      <c r="P29" s="1025">
        <v>175</v>
      </c>
      <c r="Q29" s="1477">
        <v>154</v>
      </c>
      <c r="R29" s="1025">
        <v>272</v>
      </c>
      <c r="S29" s="1025">
        <v>200</v>
      </c>
      <c r="T29" s="1025">
        <v>128</v>
      </c>
      <c r="U29" s="1477">
        <v>760</v>
      </c>
      <c r="V29" s="1025">
        <v>-698</v>
      </c>
      <c r="W29" s="1025">
        <v>905</v>
      </c>
      <c r="X29" s="1025">
        <v>-313</v>
      </c>
      <c r="Y29" s="1477">
        <v>372</v>
      </c>
      <c r="Z29" s="1478">
        <v>941</v>
      </c>
      <c r="AA29" s="1025">
        <v>1757</v>
      </c>
      <c r="AB29" s="1025">
        <v>517</v>
      </c>
      <c r="AC29" s="1477">
        <v>538</v>
      </c>
      <c r="AD29" s="1478">
        <v>76</v>
      </c>
      <c r="AE29" s="1025">
        <v>0</v>
      </c>
      <c r="AF29" s="1025">
        <v>0</v>
      </c>
      <c r="AG29" s="1053">
        <v>0</v>
      </c>
      <c r="AH29" s="979">
        <v>0</v>
      </c>
      <c r="AI29" s="1025">
        <v>0</v>
      </c>
      <c r="AJ29" s="1025" t="e">
        <v>#REF!</v>
      </c>
      <c r="AK29" s="1053" t="e">
        <v>#REF!</v>
      </c>
      <c r="AL29" s="1478" t="e">
        <v>#REF!</v>
      </c>
      <c r="AM29" s="1478" t="e">
        <v>#REF!</v>
      </c>
      <c r="AN29" s="1478" t="e">
        <v>#REF!</v>
      </c>
      <c r="AO29" s="1477" t="e">
        <v>#REF!</v>
      </c>
      <c r="AP29" s="1478" t="e">
        <v>#REF!</v>
      </c>
      <c r="AQ29" s="1478" t="e">
        <v>#REF!</v>
      </c>
      <c r="AR29" s="1478" t="e">
        <v>#REF!</v>
      </c>
      <c r="AS29" s="1477" t="e">
        <v>#REF!</v>
      </c>
      <c r="AT29" s="1447" t="e">
        <v>#REF!</v>
      </c>
      <c r="AU29" s="1501" t="e">
        <v>#REF!</v>
      </c>
      <c r="AV29" s="1477" t="e">
        <v>#REF!</v>
      </c>
      <c r="AW29" s="1477" t="e">
        <v>#REF!</v>
      </c>
      <c r="AX29" s="1492"/>
      <c r="AY29" s="1248">
        <v>260</v>
      </c>
      <c r="AZ29" s="2018">
        <v>415</v>
      </c>
      <c r="BA29" s="1028">
        <v>-155</v>
      </c>
      <c r="BB29" s="1056">
        <v>-0.37349397590361444</v>
      </c>
      <c r="BC29" s="2019"/>
      <c r="BD29" s="1447">
        <v>260</v>
      </c>
      <c r="BE29" s="2022">
        <v>415</v>
      </c>
      <c r="BF29" s="2022">
        <v>1360</v>
      </c>
      <c r="BG29" s="2022">
        <v>266</v>
      </c>
      <c r="BH29" s="2022">
        <v>3753</v>
      </c>
      <c r="BI29" s="2020">
        <v>76</v>
      </c>
      <c r="BJ29" s="1465">
        <v>0</v>
      </c>
      <c r="BK29" s="1465">
        <v>0</v>
      </c>
      <c r="BL29" s="1465">
        <v>0</v>
      </c>
      <c r="BM29" s="1465">
        <v>0</v>
      </c>
      <c r="BN29" s="1054">
        <v>0</v>
      </c>
      <c r="BO29" s="1054">
        <v>0</v>
      </c>
      <c r="BP29" s="979">
        <v>0</v>
      </c>
      <c r="BQ29" s="1266"/>
      <c r="BR29" s="1226"/>
      <c r="BS29" s="1181"/>
      <c r="BV29" s="1181"/>
    </row>
    <row r="30" spans="1:74" ht="12.75" customHeight="1" x14ac:dyDescent="0.2">
      <c r="A30" s="971"/>
      <c r="B30" s="969" t="s">
        <v>160</v>
      </c>
      <c r="C30" s="1921">
        <v>0</v>
      </c>
      <c r="D30" s="1056">
        <v>0</v>
      </c>
      <c r="E30" s="937"/>
      <c r="F30" s="1880"/>
      <c r="G30" s="933"/>
      <c r="H30" s="933"/>
      <c r="I30" s="2352">
        <v>0</v>
      </c>
      <c r="J30" s="1921">
        <v>1150</v>
      </c>
      <c r="K30" s="1028">
        <v>1345</v>
      </c>
      <c r="L30" s="1028">
        <v>0</v>
      </c>
      <c r="M30" s="1059">
        <v>0</v>
      </c>
      <c r="N30" s="1921">
        <v>500</v>
      </c>
      <c r="O30" s="1028">
        <v>0</v>
      </c>
      <c r="P30" s="1028">
        <v>0</v>
      </c>
      <c r="Q30" s="1059">
        <v>0</v>
      </c>
      <c r="R30" s="1028">
        <v>0</v>
      </c>
      <c r="S30" s="1028">
        <v>0</v>
      </c>
      <c r="T30" s="1028">
        <v>0</v>
      </c>
      <c r="U30" s="1059">
        <v>0</v>
      </c>
      <c r="V30" s="1028">
        <v>0</v>
      </c>
      <c r="W30" s="1028">
        <v>0</v>
      </c>
      <c r="X30" s="1507">
        <v>0</v>
      </c>
      <c r="Y30" s="1059">
        <v>0</v>
      </c>
      <c r="Z30" s="1028">
        <v>0</v>
      </c>
      <c r="AA30" s="1507">
        <v>0</v>
      </c>
      <c r="AB30" s="1507">
        <v>0</v>
      </c>
      <c r="AC30" s="1059">
        <v>0</v>
      </c>
      <c r="AD30" s="1028">
        <v>0</v>
      </c>
      <c r="AE30" s="1507">
        <v>0</v>
      </c>
      <c r="AF30" s="1028">
        <v>0</v>
      </c>
      <c r="AG30" s="1059">
        <v>0</v>
      </c>
      <c r="AH30" s="1028">
        <v>0</v>
      </c>
      <c r="AI30" s="1507">
        <v>0</v>
      </c>
      <c r="AJ30" s="1028" t="e">
        <v>#REF!</v>
      </c>
      <c r="AK30" s="1059" t="e">
        <v>#REF!</v>
      </c>
      <c r="AL30" s="1507" t="e">
        <v>#REF!</v>
      </c>
      <c r="AM30" s="1478" t="e">
        <v>#REF!</v>
      </c>
      <c r="AN30" s="1028" t="e">
        <v>#REF!</v>
      </c>
      <c r="AO30" s="1902" t="e">
        <v>#REF!</v>
      </c>
      <c r="AP30" s="1028" t="e">
        <v>#REF!</v>
      </c>
      <c r="AQ30" s="1028" t="e">
        <v>#REF!</v>
      </c>
      <c r="AR30" s="1028" t="e">
        <v>#REF!</v>
      </c>
      <c r="AS30" s="1059" t="e">
        <v>#REF!</v>
      </c>
      <c r="AT30" s="1923" t="e">
        <v>#REF!</v>
      </c>
      <c r="AU30" s="1461" t="e">
        <v>#REF!</v>
      </c>
      <c r="AV30" s="1463" t="e">
        <v>#REF!</v>
      </c>
      <c r="AW30" s="1463" t="e">
        <v>#REF!</v>
      </c>
      <c r="AX30" s="1492"/>
      <c r="AY30" s="1248">
        <v>2495</v>
      </c>
      <c r="AZ30" s="2018">
        <v>500</v>
      </c>
      <c r="BA30" s="1028">
        <v>1995</v>
      </c>
      <c r="BB30" s="1056" t="s">
        <v>42</v>
      </c>
      <c r="BC30" s="2019"/>
      <c r="BD30" s="1447">
        <v>2495</v>
      </c>
      <c r="BE30" s="2025">
        <v>500</v>
      </c>
      <c r="BF30" s="2025">
        <v>0</v>
      </c>
      <c r="BG30" s="2026">
        <v>0</v>
      </c>
      <c r="BH30" s="2026">
        <v>0</v>
      </c>
      <c r="BI30" s="2020">
        <v>0</v>
      </c>
      <c r="BJ30" s="1465">
        <v>0</v>
      </c>
      <c r="BK30" s="1465">
        <v>0</v>
      </c>
      <c r="BL30" s="1465">
        <v>0</v>
      </c>
      <c r="BM30" s="1470">
        <v>0</v>
      </c>
      <c r="BN30" s="1054">
        <v>0</v>
      </c>
      <c r="BO30" s="1054">
        <v>0</v>
      </c>
      <c r="BP30" s="979">
        <v>0</v>
      </c>
      <c r="BQ30" s="1266"/>
      <c r="BR30" s="1226"/>
      <c r="BS30" s="1181"/>
      <c r="BV30" s="1181"/>
    </row>
    <row r="31" spans="1:74" ht="12.75" customHeight="1" x14ac:dyDescent="0.2">
      <c r="A31" s="971"/>
      <c r="B31" s="969" t="s">
        <v>442</v>
      </c>
      <c r="C31" s="1921">
        <v>0</v>
      </c>
      <c r="D31" s="1056">
        <v>0</v>
      </c>
      <c r="E31" s="937"/>
      <c r="F31" s="1881"/>
      <c r="G31" s="1406"/>
      <c r="H31" s="1406"/>
      <c r="I31" s="2352">
        <v>0</v>
      </c>
      <c r="J31" s="1922">
        <v>0</v>
      </c>
      <c r="K31" s="1507">
        <v>48222</v>
      </c>
      <c r="L31" s="1507">
        <v>0</v>
      </c>
      <c r="M31" s="1059">
        <v>0</v>
      </c>
      <c r="N31" s="1922">
        <v>10000</v>
      </c>
      <c r="O31" s="1507">
        <v>4535</v>
      </c>
      <c r="P31" s="1507">
        <v>0</v>
      </c>
      <c r="Q31" s="1059">
        <v>0</v>
      </c>
      <c r="R31" s="1507">
        <v>0</v>
      </c>
      <c r="S31" s="1507">
        <v>0</v>
      </c>
      <c r="T31" s="1507">
        <v>0</v>
      </c>
      <c r="U31" s="1059">
        <v>0</v>
      </c>
      <c r="V31" s="1507">
        <v>0</v>
      </c>
      <c r="W31" s="1507">
        <v>0</v>
      </c>
      <c r="X31" s="1507"/>
      <c r="Y31" s="1059"/>
      <c r="Z31" s="1028"/>
      <c r="AA31" s="1507"/>
      <c r="AB31" s="1507"/>
      <c r="AC31" s="1059"/>
      <c r="AD31" s="1028"/>
      <c r="AE31" s="1507"/>
      <c r="AF31" s="1028"/>
      <c r="AG31" s="1059"/>
      <c r="AH31" s="1028"/>
      <c r="AI31" s="1507"/>
      <c r="AJ31" s="1028"/>
      <c r="AK31" s="1059"/>
      <c r="AL31" s="1507"/>
      <c r="AM31" s="1478"/>
      <c r="AN31" s="1028"/>
      <c r="AO31" s="1902"/>
      <c r="AP31" s="1028"/>
      <c r="AQ31" s="1028"/>
      <c r="AR31" s="1028"/>
      <c r="AS31" s="1059"/>
      <c r="AT31" s="1923"/>
      <c r="AU31" s="1461"/>
      <c r="AV31" s="1463"/>
      <c r="AW31" s="1463"/>
      <c r="AX31" s="1492"/>
      <c r="AY31" s="1248">
        <v>48222</v>
      </c>
      <c r="AZ31" s="2018">
        <v>14535</v>
      </c>
      <c r="BA31" s="1028">
        <v>33687</v>
      </c>
      <c r="BB31" s="1056">
        <v>2.3176470588235296</v>
      </c>
      <c r="BC31" s="2019"/>
      <c r="BD31" s="1447">
        <v>48222</v>
      </c>
      <c r="BE31" s="2025">
        <v>14535</v>
      </c>
      <c r="BF31" s="2025">
        <v>0</v>
      </c>
      <c r="BG31" s="2026">
        <v>0</v>
      </c>
      <c r="BH31" s="2026">
        <v>0</v>
      </c>
      <c r="BI31" s="2020">
        <v>0</v>
      </c>
      <c r="BJ31" s="1465">
        <v>0</v>
      </c>
      <c r="BK31" s="1465"/>
      <c r="BL31" s="1465"/>
      <c r="BM31" s="1470"/>
      <c r="BN31" s="1054"/>
      <c r="BO31" s="1054"/>
      <c r="BP31" s="979"/>
      <c r="BQ31" s="1266"/>
      <c r="BR31" s="1226"/>
      <c r="BS31" s="1181"/>
      <c r="BV31" s="1181"/>
    </row>
    <row r="32" spans="1:74" ht="12.75" customHeight="1" x14ac:dyDescent="0.2">
      <c r="A32" s="971"/>
      <c r="B32" s="969"/>
      <c r="C32" s="1482">
        <v>-659</v>
      </c>
      <c r="D32" s="1232">
        <v>-5.9487272070770897E-2</v>
      </c>
      <c r="E32" s="937"/>
      <c r="F32" s="1399">
        <v>0</v>
      </c>
      <c r="G32" s="1399">
        <v>0</v>
      </c>
      <c r="H32" s="1399">
        <v>0</v>
      </c>
      <c r="I32" s="2302">
        <v>10419</v>
      </c>
      <c r="J32" s="1474">
        <v>13560</v>
      </c>
      <c r="K32" s="1474">
        <v>59600</v>
      </c>
      <c r="L32" s="1474">
        <v>10337</v>
      </c>
      <c r="M32" s="1473">
        <v>11078</v>
      </c>
      <c r="N32" s="1474">
        <v>23569</v>
      </c>
      <c r="O32" s="1474">
        <v>13337</v>
      </c>
      <c r="P32" s="1474">
        <v>11832</v>
      </c>
      <c r="Q32" s="1473">
        <v>13138</v>
      </c>
      <c r="R32" s="1474">
        <v>9455</v>
      </c>
      <c r="S32" s="1474">
        <v>12103</v>
      </c>
      <c r="T32" s="1474">
        <v>9069</v>
      </c>
      <c r="U32" s="1473">
        <v>9298</v>
      </c>
      <c r="V32" s="1474">
        <v>9244</v>
      </c>
      <c r="W32" s="1474">
        <v>9883</v>
      </c>
      <c r="X32" s="1474">
        <v>7490</v>
      </c>
      <c r="Y32" s="1473">
        <v>7988</v>
      </c>
      <c r="Z32" s="1474">
        <v>6225</v>
      </c>
      <c r="AA32" s="1474">
        <v>7323</v>
      </c>
      <c r="AB32" s="1474">
        <v>1729</v>
      </c>
      <c r="AC32" s="1473">
        <v>2038</v>
      </c>
      <c r="AD32" s="1474">
        <v>1317</v>
      </c>
      <c r="AE32" s="1474">
        <v>151</v>
      </c>
      <c r="AF32" s="1474">
        <v>34</v>
      </c>
      <c r="AG32" s="1473">
        <v>43</v>
      </c>
      <c r="AH32" s="1474">
        <v>1744</v>
      </c>
      <c r="AI32" s="1474">
        <v>176</v>
      </c>
      <c r="AJ32" s="1474" t="e">
        <v>#REF!</v>
      </c>
      <c r="AK32" s="1473" t="e">
        <v>#REF!</v>
      </c>
      <c r="AL32" s="1474" t="e">
        <v>#REF!</v>
      </c>
      <c r="AM32" s="1474" t="e">
        <v>#REF!</v>
      </c>
      <c r="AN32" s="1474" t="e">
        <v>#REF!</v>
      </c>
      <c r="AO32" s="1473" t="e">
        <v>#REF!</v>
      </c>
      <c r="AP32" s="1474" t="e">
        <v>#REF!</v>
      </c>
      <c r="AQ32" s="1474" t="e">
        <v>#REF!</v>
      </c>
      <c r="AR32" s="1474" t="e">
        <v>#REF!</v>
      </c>
      <c r="AS32" s="1473" t="e">
        <v>#REF!</v>
      </c>
      <c r="AT32" s="1451" t="e">
        <v>#REF!</v>
      </c>
      <c r="AU32" s="1473" t="e">
        <v>#REF!</v>
      </c>
      <c r="AV32" s="1473" t="e">
        <v>#REF!</v>
      </c>
      <c r="AW32" s="1473" t="e">
        <v>#REF!</v>
      </c>
      <c r="AX32" s="1492"/>
      <c r="AY32" s="1474">
        <v>94575</v>
      </c>
      <c r="AZ32" s="1474">
        <v>61876</v>
      </c>
      <c r="BA32" s="1925">
        <v>32699</v>
      </c>
      <c r="BB32" s="1232">
        <v>0.52846014609864889</v>
      </c>
      <c r="BC32" s="2019"/>
      <c r="BD32" s="1457">
        <v>94575</v>
      </c>
      <c r="BE32" s="2021">
        <v>61876</v>
      </c>
      <c r="BF32" s="2021">
        <v>39925</v>
      </c>
      <c r="BG32" s="2021">
        <v>34605</v>
      </c>
      <c r="BH32" s="2021">
        <v>17315</v>
      </c>
      <c r="BI32" s="2021">
        <v>1545</v>
      </c>
      <c r="BJ32" s="1457">
        <v>2453</v>
      </c>
      <c r="BK32" s="1457">
        <v>4212</v>
      </c>
      <c r="BL32" s="1457">
        <v>5506</v>
      </c>
      <c r="BM32" s="1457">
        <v>4992</v>
      </c>
      <c r="BN32" s="1292">
        <v>83963</v>
      </c>
      <c r="BO32" s="1292">
        <v>85664</v>
      </c>
      <c r="BP32" s="1231">
        <v>68575</v>
      </c>
      <c r="BQ32" s="1266"/>
      <c r="BR32" s="1226"/>
      <c r="BS32" s="1181"/>
      <c r="BV32" s="1181"/>
    </row>
    <row r="33" spans="1:74" s="1588" customFormat="1" ht="24.95" customHeight="1" thickBot="1" x14ac:dyDescent="0.25">
      <c r="A33" s="2480" t="s">
        <v>179</v>
      </c>
      <c r="B33" s="2481"/>
      <c r="C33" s="1616">
        <v>3457</v>
      </c>
      <c r="D33" s="1056" t="s">
        <v>42</v>
      </c>
      <c r="E33" s="1574"/>
      <c r="F33" s="1398">
        <v>0</v>
      </c>
      <c r="G33" s="1398">
        <v>0</v>
      </c>
      <c r="H33" s="1398">
        <v>0</v>
      </c>
      <c r="I33" s="2305">
        <v>3070</v>
      </c>
      <c r="J33" s="1475">
        <v>-1880</v>
      </c>
      <c r="K33" s="1475">
        <v>-51437</v>
      </c>
      <c r="L33" s="1475">
        <v>-2855</v>
      </c>
      <c r="M33" s="1481">
        <v>-387</v>
      </c>
      <c r="N33" s="1475">
        <v>-7591</v>
      </c>
      <c r="O33" s="1475">
        <v>-5848</v>
      </c>
      <c r="P33" s="1475">
        <v>257</v>
      </c>
      <c r="Q33" s="1481">
        <v>912</v>
      </c>
      <c r="R33" s="1475">
        <v>-301</v>
      </c>
      <c r="S33" s="1475">
        <v>3872</v>
      </c>
      <c r="T33" s="1475">
        <v>-578</v>
      </c>
      <c r="U33" s="1481">
        <v>-4434</v>
      </c>
      <c r="V33" s="1475">
        <v>-2819</v>
      </c>
      <c r="W33" s="1475">
        <v>-2585</v>
      </c>
      <c r="X33" s="1475">
        <v>-1333</v>
      </c>
      <c r="Y33" s="1481">
        <v>-2581</v>
      </c>
      <c r="Z33" s="1475">
        <v>-2512</v>
      </c>
      <c r="AA33" s="1475">
        <v>-629</v>
      </c>
      <c r="AB33" s="1475">
        <v>-1896</v>
      </c>
      <c r="AC33" s="1481">
        <v>-1786</v>
      </c>
      <c r="AD33" s="1475">
        <v>-714</v>
      </c>
      <c r="AE33" s="1475">
        <v>265</v>
      </c>
      <c r="AF33" s="1248">
        <v>327</v>
      </c>
      <c r="AG33" s="1481">
        <v>-195</v>
      </c>
      <c r="AH33" s="1248">
        <v>1750</v>
      </c>
      <c r="AI33" s="1475">
        <v>157</v>
      </c>
      <c r="AJ33" s="1248" t="e">
        <v>#REF!</v>
      </c>
      <c r="AK33" s="1481" t="e">
        <v>#REF!</v>
      </c>
      <c r="AL33" s="1475" t="e">
        <v>#REF!</v>
      </c>
      <c r="AM33" s="1475" t="e">
        <v>#REF!</v>
      </c>
      <c r="AN33" s="1475" t="e">
        <v>#REF!</v>
      </c>
      <c r="AO33" s="1481" t="e">
        <v>#REF!</v>
      </c>
      <c r="AP33" s="1475" t="e">
        <v>#REF!</v>
      </c>
      <c r="AQ33" s="1330" t="e">
        <v>#REF!</v>
      </c>
      <c r="AR33" s="1331" t="e">
        <v>#REF!</v>
      </c>
      <c r="AS33" s="1330" t="e">
        <v>#REF!</v>
      </c>
      <c r="AT33" s="1330" t="e">
        <v>#REF!</v>
      </c>
      <c r="AU33" s="1330" t="e">
        <v>#REF!</v>
      </c>
      <c r="AV33" s="1330" t="e">
        <v>#REF!</v>
      </c>
      <c r="AW33" s="1330" t="e">
        <v>#REF!</v>
      </c>
      <c r="AX33" s="1314"/>
      <c r="AY33" s="1475">
        <v>-56559</v>
      </c>
      <c r="AZ33" s="1475">
        <v>-12270</v>
      </c>
      <c r="BA33" s="1475">
        <v>-44289</v>
      </c>
      <c r="BB33" s="1617" t="s">
        <v>42</v>
      </c>
      <c r="BC33" s="1633"/>
      <c r="BD33" s="1484">
        <v>-56559</v>
      </c>
      <c r="BE33" s="1484">
        <v>-12270</v>
      </c>
      <c r="BF33" s="1484">
        <v>-1441</v>
      </c>
      <c r="BG33" s="1484">
        <v>-9318</v>
      </c>
      <c r="BH33" s="1484">
        <v>-6823</v>
      </c>
      <c r="BI33" s="1484">
        <v>-317</v>
      </c>
      <c r="BJ33" s="1484">
        <v>3441</v>
      </c>
      <c r="BK33" s="1707">
        <v>2569</v>
      </c>
      <c r="BL33" s="1707">
        <v>4431</v>
      </c>
      <c r="BM33" s="1756">
        <v>10905</v>
      </c>
      <c r="BN33" s="1708">
        <f>BN17-BN32</f>
        <v>41937</v>
      </c>
      <c r="BO33" s="1708">
        <f>BO17-BO32</f>
        <v>30426</v>
      </c>
      <c r="BP33" s="1919"/>
      <c r="BQ33" s="1920"/>
      <c r="BR33" s="2356"/>
      <c r="BS33" s="1587"/>
      <c r="BT33" s="1587"/>
      <c r="BU33" s="1587"/>
      <c r="BV33" s="1587"/>
    </row>
    <row r="34" spans="1:74" s="1588" customFormat="1" ht="12.75" customHeight="1" thickTop="1" x14ac:dyDescent="0.2">
      <c r="A34" s="2276"/>
      <c r="B34" s="1624" t="s">
        <v>347</v>
      </c>
      <c r="C34" s="1619">
        <v>0</v>
      </c>
      <c r="D34" s="2009">
        <v>0</v>
      </c>
      <c r="E34" s="1574"/>
      <c r="F34" s="1198"/>
      <c r="G34" s="1198"/>
      <c r="H34" s="1198"/>
      <c r="I34" s="2310"/>
      <c r="J34" s="1300"/>
      <c r="K34" s="1300">
        <v>0</v>
      </c>
      <c r="L34" s="1300">
        <v>0</v>
      </c>
      <c r="M34" s="1506">
        <v>0</v>
      </c>
      <c r="N34" s="1300">
        <v>0</v>
      </c>
      <c r="O34" s="1300">
        <v>0</v>
      </c>
      <c r="P34" s="1300">
        <v>0</v>
      </c>
      <c r="Q34" s="1506">
        <v>0</v>
      </c>
      <c r="R34" s="1300">
        <v>0</v>
      </c>
      <c r="S34" s="1300">
        <v>0</v>
      </c>
      <c r="T34" s="1300">
        <v>150</v>
      </c>
      <c r="U34" s="1506">
        <v>0</v>
      </c>
      <c r="V34" s="1300">
        <v>0</v>
      </c>
      <c r="W34" s="1300">
        <v>0</v>
      </c>
      <c r="X34" s="1300">
        <v>0</v>
      </c>
      <c r="Y34" s="1506">
        <v>0</v>
      </c>
      <c r="Z34" s="1300">
        <v>0</v>
      </c>
      <c r="AA34" s="1300">
        <v>0</v>
      </c>
      <c r="AB34" s="1300">
        <v>0</v>
      </c>
      <c r="AC34" s="1489"/>
      <c r="AD34" s="1475"/>
      <c r="AE34" s="1248"/>
      <c r="AF34" s="1475"/>
      <c r="AG34" s="1489"/>
      <c r="AH34" s="1475"/>
      <c r="AI34" s="1248">
        <v>1561</v>
      </c>
      <c r="AJ34" s="1475">
        <v>60</v>
      </c>
      <c r="AK34" s="1489">
        <v>2551</v>
      </c>
      <c r="AL34" s="1248">
        <v>-616</v>
      </c>
      <c r="AM34" s="1248">
        <v>-1126</v>
      </c>
      <c r="AN34" s="1248">
        <v>-932</v>
      </c>
      <c r="AO34" s="1489">
        <v>2587</v>
      </c>
      <c r="AP34" s="1248">
        <v>24</v>
      </c>
      <c r="AQ34" s="1073"/>
      <c r="AR34" s="1927"/>
      <c r="AS34" s="1073"/>
      <c r="AT34" s="1073"/>
      <c r="AU34" s="1073"/>
      <c r="AV34" s="1073"/>
      <c r="AW34" s="1073"/>
      <c r="AX34" s="1928"/>
      <c r="AY34" s="1300">
        <v>0</v>
      </c>
      <c r="AZ34" s="1300">
        <v>0</v>
      </c>
      <c r="BA34" s="1300">
        <v>0</v>
      </c>
      <c r="BB34" s="1617">
        <v>0</v>
      </c>
      <c r="BC34" s="2028"/>
      <c r="BD34" s="1493">
        <v>0</v>
      </c>
      <c r="BE34" s="1493">
        <v>0</v>
      </c>
      <c r="BF34" s="1493">
        <v>150</v>
      </c>
      <c r="BG34" s="1493">
        <v>0</v>
      </c>
      <c r="BH34" s="1493">
        <v>0</v>
      </c>
      <c r="BI34" s="1493">
        <v>0</v>
      </c>
      <c r="BJ34" s="1493">
        <v>0</v>
      </c>
      <c r="BK34" s="1493">
        <v>0</v>
      </c>
      <c r="BL34" s="1702">
        <v>9333</v>
      </c>
      <c r="BM34" s="1718">
        <v>11496</v>
      </c>
      <c r="BN34" s="1762">
        <v>11945</v>
      </c>
      <c r="BO34" s="1715">
        <v>10058</v>
      </c>
      <c r="BP34" s="1627"/>
      <c r="BQ34" s="1920"/>
      <c r="BR34" s="2356"/>
      <c r="BS34" s="1587"/>
      <c r="BT34" s="1587"/>
      <c r="BU34" s="1587"/>
      <c r="BV34" s="1587"/>
    </row>
    <row r="35" spans="1:74" s="1588" customFormat="1" ht="18.75" customHeight="1" thickBot="1" x14ac:dyDescent="0.25">
      <c r="A35" s="2480" t="s">
        <v>74</v>
      </c>
      <c r="B35" s="2482"/>
      <c r="C35" s="1625">
        <v>3457</v>
      </c>
      <c r="D35" s="1243" t="s">
        <v>42</v>
      </c>
      <c r="E35" s="1574"/>
      <c r="F35" s="1409">
        <v>0</v>
      </c>
      <c r="G35" s="1409">
        <v>0</v>
      </c>
      <c r="H35" s="1409">
        <v>0</v>
      </c>
      <c r="I35" s="2311">
        <v>3070</v>
      </c>
      <c r="J35" s="1510">
        <v>-1880</v>
      </c>
      <c r="K35" s="1510">
        <v>-51437</v>
      </c>
      <c r="L35" s="1510">
        <v>-2855</v>
      </c>
      <c r="M35" s="1514">
        <v>-387</v>
      </c>
      <c r="N35" s="1510">
        <v>-7591</v>
      </c>
      <c r="O35" s="1510">
        <v>-5848</v>
      </c>
      <c r="P35" s="1510">
        <v>257</v>
      </c>
      <c r="Q35" s="1514">
        <v>912</v>
      </c>
      <c r="R35" s="1510">
        <v>-301</v>
      </c>
      <c r="S35" s="1510">
        <v>3872</v>
      </c>
      <c r="T35" s="1510">
        <v>-728</v>
      </c>
      <c r="U35" s="1514">
        <v>-4434</v>
      </c>
      <c r="V35" s="1510">
        <v>-2819</v>
      </c>
      <c r="W35" s="1510">
        <v>-2585</v>
      </c>
      <c r="X35" s="1510">
        <v>-1333</v>
      </c>
      <c r="Y35" s="1514">
        <v>-2581</v>
      </c>
      <c r="Z35" s="1510">
        <v>-2512</v>
      </c>
      <c r="AA35" s="1510">
        <v>-629</v>
      </c>
      <c r="AB35" s="1510">
        <v>-1896</v>
      </c>
      <c r="AC35" s="1514"/>
      <c r="AD35" s="1510"/>
      <c r="AE35" s="1510"/>
      <c r="AF35" s="1510"/>
      <c r="AG35" s="1514"/>
      <c r="AH35" s="1510">
        <v>3882</v>
      </c>
      <c r="AI35" s="1510">
        <v>3051</v>
      </c>
      <c r="AJ35" s="1510">
        <v>-167</v>
      </c>
      <c r="AK35" s="1514">
        <v>2036</v>
      </c>
      <c r="AL35" s="1510">
        <v>3710</v>
      </c>
      <c r="AM35" s="1510">
        <v>-2568</v>
      </c>
      <c r="AN35" s="1510">
        <v>-4210</v>
      </c>
      <c r="AO35" s="1514">
        <v>7755</v>
      </c>
      <c r="AP35" s="1510">
        <v>-439</v>
      </c>
      <c r="AQ35" s="1931">
        <v>8956</v>
      </c>
      <c r="AR35" s="1932">
        <v>4777</v>
      </c>
      <c r="AS35" s="1931">
        <v>20726</v>
      </c>
      <c r="AT35" s="1931">
        <v>8455</v>
      </c>
      <c r="AU35" s="1931">
        <v>7520</v>
      </c>
      <c r="AV35" s="1931">
        <v>10021</v>
      </c>
      <c r="AW35" s="1931">
        <v>16613</v>
      </c>
      <c r="AX35" s="1928"/>
      <c r="AY35" s="1510">
        <v>-56559</v>
      </c>
      <c r="AZ35" s="1510">
        <v>-12270</v>
      </c>
      <c r="BA35" s="1510">
        <v>-44289</v>
      </c>
      <c r="BB35" s="1626" t="s">
        <v>42</v>
      </c>
      <c r="BC35" s="1760"/>
      <c r="BD35" s="1518">
        <v>-56559</v>
      </c>
      <c r="BE35" s="1518">
        <v>-12270</v>
      </c>
      <c r="BF35" s="1518">
        <v>-1591</v>
      </c>
      <c r="BG35" s="1518">
        <v>-9318</v>
      </c>
      <c r="BH35" s="1518">
        <v>-6823</v>
      </c>
      <c r="BI35" s="1518">
        <v>-317</v>
      </c>
      <c r="BJ35" s="1518">
        <f>+BJ33-BJ34</f>
        <v>3441</v>
      </c>
      <c r="BK35" s="1767">
        <f>+BK33-BK34</f>
        <v>2569</v>
      </c>
      <c r="BL35" s="1767">
        <v>24711</v>
      </c>
      <c r="BM35" s="1768">
        <v>31113</v>
      </c>
      <c r="BN35" s="1769">
        <f>BN33-BN34</f>
        <v>29992</v>
      </c>
      <c r="BO35" s="1708">
        <f>BO33-BO34</f>
        <v>20368</v>
      </c>
      <c r="BP35" s="1627">
        <v>15914</v>
      </c>
      <c r="BQ35" s="1920"/>
      <c r="BR35" s="2356"/>
      <c r="BS35" s="1587"/>
      <c r="BT35" s="1587"/>
      <c r="BU35" s="1587"/>
      <c r="BV35" s="1587"/>
    </row>
    <row r="36" spans="1:74" s="1211" customFormat="1" ht="12.75" customHeight="1" thickTop="1" x14ac:dyDescent="0.2">
      <c r="A36" s="1239"/>
      <c r="B36" s="970"/>
      <c r="C36" s="1478"/>
      <c r="D36" s="975"/>
      <c r="E36" s="926"/>
      <c r="F36" s="926"/>
      <c r="G36" s="926"/>
      <c r="H36" s="926"/>
      <c r="I36" s="1400"/>
      <c r="J36" s="975"/>
      <c r="K36" s="975"/>
      <c r="L36" s="975"/>
      <c r="M36" s="1478"/>
      <c r="N36" s="975"/>
      <c r="O36" s="975"/>
      <c r="P36" s="975"/>
      <c r="Q36" s="1478"/>
      <c r="R36" s="975"/>
      <c r="S36" s="975"/>
      <c r="T36" s="975"/>
      <c r="U36" s="1478"/>
      <c r="V36" s="975"/>
      <c r="W36" s="975"/>
      <c r="X36" s="975"/>
      <c r="Y36" s="1478"/>
      <c r="Z36" s="975"/>
      <c r="AA36" s="975"/>
      <c r="AB36" s="975"/>
      <c r="AC36" s="1478"/>
      <c r="AD36" s="975"/>
      <c r="AE36" s="975"/>
      <c r="AF36" s="975"/>
      <c r="AG36" s="1478"/>
      <c r="AH36" s="975"/>
      <c r="AI36" s="975"/>
      <c r="AJ36" s="975"/>
      <c r="AK36" s="1478"/>
      <c r="AL36" s="975"/>
      <c r="AM36" s="975"/>
      <c r="AN36" s="975"/>
      <c r="AO36" s="1478"/>
      <c r="AP36" s="1478"/>
      <c r="AQ36" s="1478"/>
      <c r="AR36" s="1478"/>
      <c r="AS36" s="1478"/>
      <c r="AT36" s="1478"/>
      <c r="AU36" s="1478"/>
      <c r="AV36" s="1478"/>
      <c r="AW36" s="1478"/>
      <c r="AX36" s="2012"/>
      <c r="AY36" s="2029"/>
      <c r="AZ36" s="2019"/>
      <c r="BA36" s="1028"/>
      <c r="BB36" s="975"/>
      <c r="BC36" s="2019"/>
      <c r="BD36" s="2030"/>
      <c r="BE36" s="2030"/>
      <c r="BF36" s="2030"/>
      <c r="BG36" s="2030"/>
      <c r="BH36" s="2030"/>
      <c r="BI36" s="2030"/>
      <c r="BJ36" s="1478"/>
      <c r="BK36" s="1478"/>
      <c r="BL36" s="1235"/>
      <c r="BM36" s="1478"/>
      <c r="BN36" s="1025"/>
      <c r="BO36" s="1025"/>
      <c r="BP36" s="1025"/>
      <c r="BQ36" s="1226"/>
      <c r="BR36" s="2171"/>
      <c r="BS36" s="1402"/>
      <c r="BV36" s="1402"/>
    </row>
    <row r="37" spans="1:74" s="1211" customFormat="1" ht="12.75" customHeight="1" x14ac:dyDescent="0.2">
      <c r="A37" s="969" t="s">
        <v>306</v>
      </c>
      <c r="B37" s="970"/>
      <c r="C37" s="2010">
        <v>-10.420084129702294</v>
      </c>
      <c r="D37" s="975"/>
      <c r="E37" s="926"/>
      <c r="F37" s="926" t="e">
        <v>#DIV/0!</v>
      </c>
      <c r="G37" s="926" t="e">
        <v>#DIV/0!</v>
      </c>
      <c r="H37" s="926" t="e">
        <v>#DIV/0!</v>
      </c>
      <c r="I37" s="926">
        <v>0.48713766772926087</v>
      </c>
      <c r="J37" s="975">
        <v>0.67859589041095891</v>
      </c>
      <c r="K37" s="975">
        <v>0.64731103760872233</v>
      </c>
      <c r="L37" s="975">
        <v>0.67936380646885863</v>
      </c>
      <c r="M37" s="975">
        <v>0.59133850902628382</v>
      </c>
      <c r="N37" s="975">
        <v>0.53248216297408935</v>
      </c>
      <c r="O37" s="975">
        <v>0.55454666844705569</v>
      </c>
      <c r="P37" s="975">
        <v>0.57051865332120111</v>
      </c>
      <c r="Q37" s="975">
        <v>0.61124555160142346</v>
      </c>
      <c r="R37" s="975">
        <v>0.44603452042822811</v>
      </c>
      <c r="S37" s="975">
        <v>0.5455399061032864</v>
      </c>
      <c r="T37" s="975">
        <v>0.51902013897067478</v>
      </c>
      <c r="U37" s="975">
        <v>0.79543585526315785</v>
      </c>
      <c r="V37" s="975">
        <v>0.71408560311284042</v>
      </c>
      <c r="W37" s="975">
        <v>0.59920526171553845</v>
      </c>
      <c r="X37" s="975">
        <v>0.43998700665908724</v>
      </c>
      <c r="Y37" s="975">
        <v>0.664693915294988</v>
      </c>
      <c r="Z37" s="975">
        <v>0.56800430918394829</v>
      </c>
      <c r="AA37" s="975">
        <v>0.40394383029578729</v>
      </c>
      <c r="AB37" s="975">
        <v>-3.6706586826347305</v>
      </c>
      <c r="AC37" s="975">
        <v>-3.968253968253968E-3</v>
      </c>
      <c r="AD37" s="975">
        <v>0.175787728026534</v>
      </c>
      <c r="AE37" s="975">
        <v>1.6826923076923076E-2</v>
      </c>
      <c r="AF37" s="975">
        <v>-5.5401662049861496E-3</v>
      </c>
      <c r="AG37" s="1478"/>
      <c r="AH37" s="975"/>
      <c r="AI37" s="975"/>
      <c r="AJ37" s="975"/>
      <c r="AK37" s="1478"/>
      <c r="AL37" s="975"/>
      <c r="AM37" s="975"/>
      <c r="AN37" s="975"/>
      <c r="AO37" s="1478"/>
      <c r="AP37" s="1478"/>
      <c r="AQ37" s="1478"/>
      <c r="AR37" s="1478"/>
      <c r="AS37" s="1478"/>
      <c r="AT37" s="1478"/>
      <c r="AU37" s="1478"/>
      <c r="AV37" s="1478"/>
      <c r="AW37" s="1478"/>
      <c r="AX37" s="2012"/>
      <c r="AY37" s="975">
        <v>0.64749053030303028</v>
      </c>
      <c r="AZ37" s="975">
        <v>0.56739104140628149</v>
      </c>
      <c r="BA37" s="2010">
        <v>8.0099488896748774</v>
      </c>
      <c r="BB37" s="975"/>
      <c r="BC37" s="2019"/>
      <c r="BD37" s="975">
        <v>0.64749053030303028</v>
      </c>
      <c r="BE37" s="975">
        <v>0.56739104140628149</v>
      </c>
      <c r="BF37" s="975">
        <v>0.54760419914769776</v>
      </c>
      <c r="BG37" s="975">
        <v>0.60363032388183646</v>
      </c>
      <c r="BH37" s="975">
        <v>0.5170606176134197</v>
      </c>
      <c r="BI37" s="975">
        <v>8.8762214983713353E-2</v>
      </c>
      <c r="BJ37" s="975">
        <f t="shared" ref="BJ37:BL38" si="0">+BJ19/BJ$17</f>
        <v>0.37750254496097724</v>
      </c>
      <c r="BK37" s="975">
        <f t="shared" si="0"/>
        <v>0.51939241999705055</v>
      </c>
      <c r="BL37" s="975">
        <f t="shared" si="0"/>
        <v>0.49753446714300092</v>
      </c>
      <c r="BM37" s="1478"/>
      <c r="BN37" s="1025"/>
      <c r="BO37" s="1025"/>
      <c r="BP37" s="1025"/>
      <c r="BQ37" s="1226"/>
      <c r="BR37" s="2171"/>
      <c r="BS37" s="1402"/>
      <c r="BV37" s="1402"/>
    </row>
    <row r="38" spans="1:74" s="1211" customFormat="1" ht="12.75" customHeight="1" x14ac:dyDescent="0.2">
      <c r="A38" s="969" t="s">
        <v>307</v>
      </c>
      <c r="B38" s="970"/>
      <c r="C38" s="2010">
        <v>0.19274964786122026</v>
      </c>
      <c r="D38" s="975"/>
      <c r="E38" s="926"/>
      <c r="F38" s="926" t="e">
        <v>#DIV/0!</v>
      </c>
      <c r="G38" s="926" t="e">
        <v>#DIV/0!</v>
      </c>
      <c r="H38" s="926" t="e">
        <v>#DIV/0!</v>
      </c>
      <c r="I38" s="926">
        <v>1.9274964786122025E-3</v>
      </c>
      <c r="J38" s="975">
        <v>0</v>
      </c>
      <c r="K38" s="975">
        <v>-1.2250398137939484E-4</v>
      </c>
      <c r="L38" s="975">
        <v>0</v>
      </c>
      <c r="M38" s="975">
        <v>0</v>
      </c>
      <c r="N38" s="975">
        <v>0</v>
      </c>
      <c r="O38" s="975">
        <v>0</v>
      </c>
      <c r="P38" s="975">
        <v>0</v>
      </c>
      <c r="Q38" s="975">
        <v>0</v>
      </c>
      <c r="R38" s="975">
        <v>-4.2604325977714658E-3</v>
      </c>
      <c r="S38" s="975">
        <v>2.3161189358372456E-3</v>
      </c>
      <c r="T38" s="975">
        <v>0</v>
      </c>
      <c r="U38" s="975">
        <v>0</v>
      </c>
      <c r="V38" s="975">
        <v>1.5564202334630351E-3</v>
      </c>
      <c r="W38" s="975">
        <v>3.6859413537955604E-2</v>
      </c>
      <c r="X38" s="975">
        <v>1.3318174435601755E-2</v>
      </c>
      <c r="Y38" s="975">
        <v>4.9935269095616793E-3</v>
      </c>
      <c r="Z38" s="975">
        <v>0</v>
      </c>
      <c r="AA38" s="975">
        <v>0</v>
      </c>
      <c r="AB38" s="975">
        <v>0</v>
      </c>
      <c r="AC38" s="975">
        <v>0</v>
      </c>
      <c r="AD38" s="975">
        <v>0</v>
      </c>
      <c r="AE38" s="975">
        <v>0</v>
      </c>
      <c r="AF38" s="975">
        <v>0</v>
      </c>
      <c r="AG38" s="1478"/>
      <c r="AH38" s="975"/>
      <c r="AI38" s="975"/>
      <c r="AJ38" s="975"/>
      <c r="AK38" s="1478"/>
      <c r="AL38" s="975"/>
      <c r="AM38" s="975"/>
      <c r="AN38" s="975"/>
      <c r="AO38" s="1478"/>
      <c r="AP38" s="1478"/>
      <c r="AQ38" s="1478"/>
      <c r="AR38" s="1478"/>
      <c r="AS38" s="1478"/>
      <c r="AT38" s="1478"/>
      <c r="AU38" s="1478"/>
      <c r="AV38" s="1478"/>
      <c r="AW38" s="1478"/>
      <c r="AX38" s="2012"/>
      <c r="AY38" s="975">
        <v>-2.6304713804713804E-5</v>
      </c>
      <c r="AZ38" s="975">
        <v>0</v>
      </c>
      <c r="BA38" s="2010">
        <v>-2.6304713804713802E-3</v>
      </c>
      <c r="BB38" s="975"/>
      <c r="BC38" s="2019"/>
      <c r="BD38" s="975">
        <v>-2.6304713804713804E-5</v>
      </c>
      <c r="BE38" s="975">
        <v>0</v>
      </c>
      <c r="BF38" s="975">
        <v>-5.1969649724560859E-5</v>
      </c>
      <c r="BG38" s="975">
        <v>1.5343852572468066E-2</v>
      </c>
      <c r="BH38" s="975">
        <v>0</v>
      </c>
      <c r="BI38" s="975">
        <v>0</v>
      </c>
      <c r="BJ38" s="975">
        <f t="shared" si="0"/>
        <v>7.6348829317950456E-3</v>
      </c>
      <c r="BK38" s="975">
        <f t="shared" si="0"/>
        <v>6.0905471169444038E-2</v>
      </c>
      <c r="BL38" s="975">
        <f t="shared" si="0"/>
        <v>3.9851061688638424E-2</v>
      </c>
      <c r="BM38" s="1478"/>
      <c r="BN38" s="1025"/>
      <c r="BO38" s="1025"/>
      <c r="BP38" s="1025"/>
      <c r="BQ38" s="1226"/>
      <c r="BR38" s="2171"/>
      <c r="BS38" s="1402"/>
      <c r="BV38" s="1402"/>
    </row>
    <row r="39" spans="1:74" s="1211" customFormat="1" ht="12.75" customHeight="1" x14ac:dyDescent="0.2">
      <c r="A39" s="1246" t="s">
        <v>76</v>
      </c>
      <c r="B39" s="970"/>
      <c r="C39" s="2010">
        <v>-10.227334481841071</v>
      </c>
      <c r="D39" s="1057"/>
      <c r="E39" s="939"/>
      <c r="F39" s="939" t="e">
        <v>#DIV/0!</v>
      </c>
      <c r="G39" s="939" t="e">
        <v>#DIV/0!</v>
      </c>
      <c r="H39" s="939" t="e">
        <v>#DIV/0!</v>
      </c>
      <c r="I39" s="939">
        <v>0.4890651642078731</v>
      </c>
      <c r="J39" s="1057">
        <v>0.67859589041095891</v>
      </c>
      <c r="K39" s="1057">
        <v>0.64718853362734285</v>
      </c>
      <c r="L39" s="1057">
        <v>0.67936380646885863</v>
      </c>
      <c r="M39" s="1057">
        <v>0.59133850902628382</v>
      </c>
      <c r="N39" s="1057">
        <v>0.53248216297408935</v>
      </c>
      <c r="O39" s="1057">
        <v>0.55454666844705569</v>
      </c>
      <c r="P39" s="1057">
        <v>0.57051865332120111</v>
      </c>
      <c r="Q39" s="1057">
        <v>0.61124555160142346</v>
      </c>
      <c r="R39" s="1057">
        <v>0.44177408783045663</v>
      </c>
      <c r="S39" s="1057">
        <v>0.54785602503912367</v>
      </c>
      <c r="T39" s="1057">
        <v>0.51902013897067478</v>
      </c>
      <c r="U39" s="1057">
        <v>0.79543585526315785</v>
      </c>
      <c r="V39" s="1057">
        <v>0.71564202334630356</v>
      </c>
      <c r="W39" s="1057">
        <v>0.63606467525349408</v>
      </c>
      <c r="X39" s="1057">
        <v>0.45330518109468898</v>
      </c>
      <c r="Y39" s="1057">
        <v>0.66968744220454968</v>
      </c>
      <c r="Z39" s="1057">
        <v>0.56800430918394829</v>
      </c>
      <c r="AA39" s="1057">
        <v>0.40394383029578729</v>
      </c>
      <c r="AB39" s="1057">
        <v>-3.6706586826347305</v>
      </c>
      <c r="AC39" s="1057">
        <v>-3.968253968253968E-3</v>
      </c>
      <c r="AD39" s="1057">
        <v>0.175787728026534</v>
      </c>
      <c r="AE39" s="1057">
        <v>1.6826923076923076E-2</v>
      </c>
      <c r="AF39" s="1057">
        <v>-5.5401662049861496E-3</v>
      </c>
      <c r="AG39" s="1057">
        <v>1.3157894736842105E-2</v>
      </c>
      <c r="AH39" s="1057">
        <v>0.57469948483113908</v>
      </c>
      <c r="AI39" s="1057">
        <v>3.003003003003003E-3</v>
      </c>
      <c r="AJ39" s="1057" t="e">
        <v>#REF!</v>
      </c>
      <c r="AK39" s="1057" t="e">
        <v>#REF!</v>
      </c>
      <c r="AL39" s="1057" t="e">
        <v>#REF!</v>
      </c>
      <c r="AM39" s="1057" t="e">
        <v>#REF!</v>
      </c>
      <c r="AN39" s="1057" t="e">
        <v>#REF!</v>
      </c>
      <c r="AO39" s="1057" t="e">
        <v>#REF!</v>
      </c>
      <c r="AP39" s="1057" t="e">
        <v>#REF!</v>
      </c>
      <c r="AQ39" s="1057" t="e">
        <v>#REF!</v>
      </c>
      <c r="AR39" s="1057" t="e">
        <v>#REF!</v>
      </c>
      <c r="AS39" s="1057" t="e">
        <v>#REF!</v>
      </c>
      <c r="AT39" s="1057" t="e">
        <v>#REF!</v>
      </c>
      <c r="AU39" s="1057" t="e">
        <v>#REF!</v>
      </c>
      <c r="AV39" s="1057" t="e">
        <v>#REF!</v>
      </c>
      <c r="AW39" s="1057" t="e">
        <v>#REF!</v>
      </c>
      <c r="AX39" s="1057"/>
      <c r="AY39" s="1057">
        <v>0.64746422558922556</v>
      </c>
      <c r="AZ39" s="1057">
        <v>0.56739104140628149</v>
      </c>
      <c r="BA39" s="2010">
        <v>8.0073184182944068</v>
      </c>
      <c r="BB39" s="975"/>
      <c r="BC39" s="1057"/>
      <c r="BD39" s="1057">
        <v>0.64746422558922556</v>
      </c>
      <c r="BE39" s="1057">
        <v>0.56739104140628149</v>
      </c>
      <c r="BF39" s="1057">
        <v>0.54805222949797316</v>
      </c>
      <c r="BG39" s="1057">
        <v>0.61897417645430464</v>
      </c>
      <c r="BH39" s="1057">
        <v>0.5170606176134197</v>
      </c>
      <c r="BI39" s="1057">
        <v>8.8762214983713353E-2</v>
      </c>
      <c r="BJ39" s="1057">
        <f>BJ21/BJ17</f>
        <v>0.38530709195792329</v>
      </c>
      <c r="BK39" s="1057">
        <v>0.58029789116649466</v>
      </c>
      <c r="BL39" s="1057">
        <v>0.53738552883163937</v>
      </c>
      <c r="BM39" s="1057">
        <v>0.30370510159149527</v>
      </c>
      <c r="BN39" s="1352">
        <v>0.54700000000000004</v>
      </c>
      <c r="BO39" s="1352">
        <v>0.56899999999999995</v>
      </c>
      <c r="BP39" s="1352">
        <v>0.63900000000000001</v>
      </c>
      <c r="BQ39" s="1226"/>
      <c r="BR39" s="2171"/>
      <c r="BS39" s="1402"/>
      <c r="BV39" s="1402"/>
    </row>
    <row r="40" spans="1:74" s="1211" customFormat="1" ht="12.75" customHeight="1" x14ac:dyDescent="0.2">
      <c r="A40" s="1246" t="s">
        <v>214</v>
      </c>
      <c r="B40" s="970"/>
      <c r="C40" s="2010">
        <v>-13.143462201147504</v>
      </c>
      <c r="D40" s="1057"/>
      <c r="E40" s="939"/>
      <c r="F40" s="939" t="e">
        <v>#DIV/0!</v>
      </c>
      <c r="G40" s="939" t="e">
        <v>#DIV/0!</v>
      </c>
      <c r="H40" s="939" t="e">
        <v>#DIV/0!</v>
      </c>
      <c r="I40" s="939">
        <v>0.54259025872933497</v>
      </c>
      <c r="J40" s="1057">
        <v>0.75273972602739725</v>
      </c>
      <c r="K40" s="1057">
        <v>0.76417983584466498</v>
      </c>
      <c r="L40" s="1057">
        <v>0.80580058807805399</v>
      </c>
      <c r="M40" s="1057">
        <v>0.67402488074081002</v>
      </c>
      <c r="N40" s="1057">
        <v>0.59669545625234699</v>
      </c>
      <c r="O40" s="1057">
        <v>0.64895179596741892</v>
      </c>
      <c r="P40" s="1057">
        <v>0.63553643808420879</v>
      </c>
      <c r="Q40" s="1057">
        <v>0.67423487544483984</v>
      </c>
      <c r="R40" s="1057">
        <v>0.58761197290801837</v>
      </c>
      <c r="S40" s="1057">
        <v>0.53477308294209702</v>
      </c>
      <c r="T40" s="1057">
        <v>0.66411494523613235</v>
      </c>
      <c r="U40" s="1057">
        <v>1.002672697368421</v>
      </c>
      <c r="V40" s="1057">
        <v>0.8745525291828794</v>
      </c>
      <c r="W40" s="1057">
        <v>0.73554398465332971</v>
      </c>
      <c r="X40" s="1057">
        <v>0.5544908234529804</v>
      </c>
      <c r="Y40" s="1057">
        <v>0.74218605511374147</v>
      </c>
      <c r="Z40" s="1057">
        <v>0.70778346350659849</v>
      </c>
      <c r="AA40" s="1057">
        <v>0.49805796235434718</v>
      </c>
      <c r="AB40" s="1057">
        <v>-4.7125748502994016</v>
      </c>
      <c r="AC40" s="1057">
        <v>3.9047619047619047</v>
      </c>
      <c r="AD40" s="1057">
        <v>1.2205638474295191</v>
      </c>
      <c r="AE40" s="1057">
        <v>3.6057692307692304E-2</v>
      </c>
      <c r="AF40" s="1057">
        <v>1.662049861495845E-2</v>
      </c>
      <c r="AG40" s="1057">
        <v>-3.2894736842105261E-2</v>
      </c>
      <c r="AH40" s="1057">
        <v>0.57784773898111053</v>
      </c>
      <c r="AI40" s="1057">
        <v>2.7027027027027029E-2</v>
      </c>
      <c r="AJ40" s="1057" t="e">
        <v>#REF!</v>
      </c>
      <c r="AK40" s="1057" t="e">
        <v>#REF!</v>
      </c>
      <c r="AL40" s="1057" t="e">
        <v>#REF!</v>
      </c>
      <c r="AM40" s="1057" t="e">
        <v>#REF!</v>
      </c>
      <c r="AN40" s="1057" t="e">
        <v>#REF!</v>
      </c>
      <c r="AO40" s="1057" t="e">
        <v>#REF!</v>
      </c>
      <c r="AP40" s="1057" t="e">
        <v>#REF!</v>
      </c>
      <c r="AQ40" s="1057" t="e">
        <v>#REF!</v>
      </c>
      <c r="AR40" s="1057" t="e">
        <v>#REF!</v>
      </c>
      <c r="AS40" s="1057" t="e">
        <v>#REF!</v>
      </c>
      <c r="AT40" s="1057" t="e">
        <v>#REF!</v>
      </c>
      <c r="AU40" s="1057" t="e">
        <v>#REF!</v>
      </c>
      <c r="AV40" s="1057" t="e">
        <v>#REF!</v>
      </c>
      <c r="AW40" s="1057" t="e">
        <v>#REF!</v>
      </c>
      <c r="AX40" s="1057"/>
      <c r="AY40" s="1057">
        <v>0.74350273569023573</v>
      </c>
      <c r="AZ40" s="1057">
        <v>0.636011772769423</v>
      </c>
      <c r="BA40" s="2010">
        <v>10.749096292081273</v>
      </c>
      <c r="BB40" s="975"/>
      <c r="BC40" s="1057"/>
      <c r="BD40" s="1057">
        <v>0.74350273569023573</v>
      </c>
      <c r="BE40" s="1057">
        <v>0.636011772769423</v>
      </c>
      <c r="BF40" s="1057">
        <v>0.63501714998440906</v>
      </c>
      <c r="BG40" s="1057">
        <v>0.72820026100367774</v>
      </c>
      <c r="BH40" s="1057">
        <v>0.73703774304231795</v>
      </c>
      <c r="BI40" s="1057">
        <v>0.62052117263843654</v>
      </c>
      <c r="BJ40" s="1057">
        <f>(BJ21+BJ22)/BJ17</f>
        <v>0.39107567017305733</v>
      </c>
      <c r="BK40" s="1057">
        <v>0.58826131838961804</v>
      </c>
      <c r="BL40" s="1057">
        <v>0.54211532655731109</v>
      </c>
      <c r="BM40" s="1057">
        <v>0.30615839466566019</v>
      </c>
      <c r="BN40" s="1352">
        <v>0.57299999999999995</v>
      </c>
      <c r="BO40" s="1352">
        <v>0.64500000000000002</v>
      </c>
      <c r="BP40" s="1352">
        <v>0.70799999999999996</v>
      </c>
      <c r="BQ40" s="1226"/>
      <c r="BR40" s="2171"/>
      <c r="BS40" s="1402"/>
      <c r="BV40" s="1402"/>
    </row>
    <row r="41" spans="1:74" s="1211" customFormat="1" ht="12.75" customHeight="1" x14ac:dyDescent="0.2">
      <c r="A41" s="1246" t="s">
        <v>77</v>
      </c>
      <c r="B41" s="970"/>
      <c r="C41" s="2217">
        <v>-13.235690320466</v>
      </c>
      <c r="D41" s="1057"/>
      <c r="E41" s="939"/>
      <c r="F41" s="939" t="e">
        <v>#DIV/0!</v>
      </c>
      <c r="G41" s="939" t="e">
        <v>#DIV/0!</v>
      </c>
      <c r="H41" s="939" t="e">
        <v>#DIV/0!</v>
      </c>
      <c r="I41" s="939">
        <v>0.22981688783453183</v>
      </c>
      <c r="J41" s="1057">
        <v>0.40821917808219177</v>
      </c>
      <c r="K41" s="1057">
        <v>6.5370574543672673</v>
      </c>
      <c r="L41" s="1057">
        <v>0.57578187650360868</v>
      </c>
      <c r="M41" s="1057">
        <v>0.36217379103919184</v>
      </c>
      <c r="N41" s="1057">
        <v>0.87839529352860179</v>
      </c>
      <c r="O41" s="1057">
        <v>1.1319268260114834</v>
      </c>
      <c r="P41" s="1057">
        <v>0.34320456613450245</v>
      </c>
      <c r="Q41" s="1057">
        <v>0.2608540925266904</v>
      </c>
      <c r="R41" s="1057">
        <v>0.44526982739785886</v>
      </c>
      <c r="S41" s="1057">
        <v>0.22284820031298905</v>
      </c>
      <c r="T41" s="1057">
        <v>0.403957131079967</v>
      </c>
      <c r="U41" s="1057">
        <v>0.90892269736842102</v>
      </c>
      <c r="V41" s="1057">
        <v>0.56420233463035019</v>
      </c>
      <c r="W41" s="1057">
        <v>0.61866264730063036</v>
      </c>
      <c r="X41" s="1057">
        <v>0.66201071950625301</v>
      </c>
      <c r="Y41" s="1057">
        <v>0.73515812835213612</v>
      </c>
      <c r="Z41" s="1057">
        <v>0.96875841637489901</v>
      </c>
      <c r="AA41" s="1057">
        <v>0.59590678219300863</v>
      </c>
      <c r="AB41" s="1057">
        <v>-5.6407185628742518</v>
      </c>
      <c r="AC41" s="1057">
        <v>4.1825396825396828</v>
      </c>
      <c r="AD41" s="1057">
        <v>0.96351575456053073</v>
      </c>
      <c r="AE41" s="1057">
        <v>0.32692307692307693</v>
      </c>
      <c r="AF41" s="1057">
        <v>7.7562326869806089E-2</v>
      </c>
      <c r="AG41" s="1057">
        <v>-0.25</v>
      </c>
      <c r="AH41" s="1057">
        <v>-7.8706353749284488E-2</v>
      </c>
      <c r="AI41" s="1057">
        <v>0.50150150150150152</v>
      </c>
      <c r="AJ41" s="1057" t="e">
        <v>#REF!</v>
      </c>
      <c r="AK41" s="1057" t="e">
        <v>#REF!</v>
      </c>
      <c r="AL41" s="1057" t="e">
        <v>#REF!</v>
      </c>
      <c r="AM41" s="1057" t="e">
        <v>#REF!</v>
      </c>
      <c r="AN41" s="1057" t="e">
        <v>#REF!</v>
      </c>
      <c r="AO41" s="1057" t="e">
        <v>#REF!</v>
      </c>
      <c r="AP41" s="1057" t="e">
        <v>#REF!</v>
      </c>
      <c r="AQ41" s="1057" t="e">
        <v>#REF!</v>
      </c>
      <c r="AR41" s="1057" t="e">
        <v>#REF!</v>
      </c>
      <c r="AS41" s="1057" t="e">
        <v>#REF!</v>
      </c>
      <c r="AT41" s="1057" t="e">
        <v>#REF!</v>
      </c>
      <c r="AU41" s="1057" t="e">
        <v>#REF!</v>
      </c>
      <c r="AV41" s="1057" t="e">
        <v>#REF!</v>
      </c>
      <c r="AW41" s="1057" t="e">
        <v>#REF!</v>
      </c>
      <c r="AX41" s="1057"/>
      <c r="AY41" s="1057">
        <v>1.7442655723905724</v>
      </c>
      <c r="AZ41" s="2229">
        <v>0.61133733822521474</v>
      </c>
      <c r="BA41" s="2010">
        <v>113.29282341653577</v>
      </c>
      <c r="BB41" s="975"/>
      <c r="BC41" s="1057"/>
      <c r="BD41" s="1057">
        <v>1.7442655723905724</v>
      </c>
      <c r="BE41" s="1057">
        <v>0.31832842801274042</v>
      </c>
      <c r="BF41" s="1057">
        <v>0.402426982642137</v>
      </c>
      <c r="BG41" s="1057">
        <v>0.64028947680626414</v>
      </c>
      <c r="BH41" s="1057">
        <v>0.91326725123903929</v>
      </c>
      <c r="BI41" s="1057">
        <v>0.6376221498371335</v>
      </c>
      <c r="BJ41" s="1057">
        <f>(BJ23+BJ24+BJ25+BJ26+BJ27+BJ28+BJ29+BJ30)/BJ17</f>
        <v>2.5110281642348152E-2</v>
      </c>
      <c r="BK41" s="1057">
        <v>3.2886005014009734E-2</v>
      </c>
      <c r="BL41" s="1057">
        <v>1.1975445305424172E-2</v>
      </c>
      <c r="BM41" s="1057">
        <v>7.8631188274517205E-3</v>
      </c>
      <c r="BN41" s="2031">
        <v>9.4E-2</v>
      </c>
      <c r="BO41" s="2031">
        <v>9.2999999999999999E-2</v>
      </c>
      <c r="BP41" s="2031">
        <v>0.104</v>
      </c>
      <c r="BQ41" s="1226"/>
      <c r="BR41" s="2171"/>
      <c r="BS41" s="1402"/>
      <c r="BV41" s="1402"/>
    </row>
    <row r="42" spans="1:74" s="1211" customFormat="1" ht="12.75" customHeight="1" x14ac:dyDescent="0.2">
      <c r="A42" s="1246" t="s">
        <v>78</v>
      </c>
      <c r="B42" s="970"/>
      <c r="C42" s="2217">
        <v>-26.379152521613491</v>
      </c>
      <c r="D42" s="1057"/>
      <c r="E42" s="939"/>
      <c r="F42" s="939" t="e">
        <v>#DIV/0!</v>
      </c>
      <c r="G42" s="939" t="e">
        <v>#DIV/0!</v>
      </c>
      <c r="H42" s="939" t="e">
        <v>#DIV/0!</v>
      </c>
      <c r="I42" s="939">
        <v>0.77240714656386689</v>
      </c>
      <c r="J42" s="1057">
        <v>1.1609589041095891</v>
      </c>
      <c r="K42" s="1057">
        <v>7.3012372902119322</v>
      </c>
      <c r="L42" s="1057">
        <v>1.3815824645816626</v>
      </c>
      <c r="M42" s="1057">
        <v>1.0361986717800018</v>
      </c>
      <c r="N42" s="1057">
        <v>1.4750907497809489</v>
      </c>
      <c r="O42" s="1057">
        <v>1.7808786219789023</v>
      </c>
      <c r="P42" s="1057">
        <v>0.97874100421871124</v>
      </c>
      <c r="Q42" s="1057">
        <v>0.93508896797153029</v>
      </c>
      <c r="R42" s="1057">
        <v>1.0328818003058773</v>
      </c>
      <c r="S42" s="1057">
        <v>0.75762128325508604</v>
      </c>
      <c r="T42" s="1057">
        <v>1.0680720763160994</v>
      </c>
      <c r="U42" s="1057">
        <v>1.911595394736842</v>
      </c>
      <c r="V42" s="1057">
        <v>1.4387548638132295</v>
      </c>
      <c r="W42" s="1057">
        <v>1.3542066319539601</v>
      </c>
      <c r="X42" s="1057">
        <v>1.2165015429592334</v>
      </c>
      <c r="Y42" s="1057">
        <v>1.4773441834658776</v>
      </c>
      <c r="Z42" s="1057">
        <v>1.6765418798814975</v>
      </c>
      <c r="AA42" s="1057">
        <v>1.0939647445473559</v>
      </c>
      <c r="AB42" s="1057">
        <v>-10.353293413173652</v>
      </c>
      <c r="AC42" s="1057">
        <v>8.087301587301587</v>
      </c>
      <c r="AD42" s="1057">
        <v>2.1840796019900499</v>
      </c>
      <c r="AE42" s="1057">
        <v>0.36298076923076922</v>
      </c>
      <c r="AF42" s="1057">
        <v>9.4182825484764546E-2</v>
      </c>
      <c r="AG42" s="1057">
        <v>-0.28289473684210525</v>
      </c>
      <c r="AH42" s="1057">
        <v>0.499141385231826</v>
      </c>
      <c r="AI42" s="1057">
        <v>0.5285285285285285</v>
      </c>
      <c r="AJ42" s="1057" t="e">
        <v>#REF!</v>
      </c>
      <c r="AK42" s="1057" t="e">
        <v>#REF!</v>
      </c>
      <c r="AL42" s="1057" t="e">
        <v>#REF!</v>
      </c>
      <c r="AM42" s="1057" t="e">
        <v>#REF!</v>
      </c>
      <c r="AN42" s="1057" t="e">
        <v>#REF!</v>
      </c>
      <c r="AO42" s="1057" t="e">
        <v>#REF!</v>
      </c>
      <c r="AP42" s="1057" t="e">
        <v>#REF!</v>
      </c>
      <c r="AQ42" s="1057" t="e">
        <v>#REF!</v>
      </c>
      <c r="AR42" s="1057" t="e">
        <v>#REF!</v>
      </c>
      <c r="AS42" s="1057" t="e">
        <v>#REF!</v>
      </c>
      <c r="AT42" s="1057" t="e">
        <v>#REF!</v>
      </c>
      <c r="AU42" s="1057" t="e">
        <v>#REF!</v>
      </c>
      <c r="AV42" s="1057" t="e">
        <v>#REF!</v>
      </c>
      <c r="AW42" s="1057" t="e">
        <v>#REF!</v>
      </c>
      <c r="AX42" s="1057"/>
      <c r="AY42" s="1057">
        <v>2.487768308080808</v>
      </c>
      <c r="AZ42" s="1057">
        <v>1.2473491109946377</v>
      </c>
      <c r="BA42" s="2010">
        <v>124.04191970861702</v>
      </c>
      <c r="BB42" s="975"/>
      <c r="BC42" s="1057"/>
      <c r="BD42" s="1057">
        <v>2.487768308080808</v>
      </c>
      <c r="BE42" s="1057">
        <v>1.2473491109946377</v>
      </c>
      <c r="BF42" s="1057">
        <v>1.037444132626546</v>
      </c>
      <c r="BG42" s="1057">
        <v>1.3684897378099419</v>
      </c>
      <c r="BH42" s="1057">
        <v>1.6503049942813572</v>
      </c>
      <c r="BI42" s="1057">
        <v>1.25814332247557</v>
      </c>
      <c r="BJ42" s="1057">
        <f>BJ32/BJ17</f>
        <v>0.41618595181540552</v>
      </c>
      <c r="BK42" s="1057">
        <v>0.62114732340362777</v>
      </c>
      <c r="BL42" s="1057">
        <v>0.55409077186273525</v>
      </c>
      <c r="BM42" s="1057">
        <v>0.31402151349311191</v>
      </c>
      <c r="BN42" s="2031">
        <v>0.66699999999999993</v>
      </c>
      <c r="BO42" s="2031">
        <v>0.73799999999999999</v>
      </c>
      <c r="BP42" s="2031">
        <v>0.81199999999999994</v>
      </c>
      <c r="BQ42" s="1226"/>
      <c r="BR42" s="2171"/>
      <c r="BS42" s="1402"/>
      <c r="BV42" s="1402"/>
    </row>
    <row r="43" spans="1:74" s="1211" customFormat="1" ht="12.75" customHeight="1" x14ac:dyDescent="0.2">
      <c r="A43" s="1246" t="s">
        <v>79</v>
      </c>
      <c r="B43" s="970"/>
      <c r="C43" s="2217">
        <v>26.379152521613502</v>
      </c>
      <c r="D43" s="1057"/>
      <c r="E43" s="939"/>
      <c r="F43" s="939" t="e">
        <v>#DIV/0!</v>
      </c>
      <c r="G43" s="939" t="e">
        <v>#DIV/0!</v>
      </c>
      <c r="H43" s="939" t="e">
        <v>#DIV/0!</v>
      </c>
      <c r="I43" s="939">
        <v>0.22759285343613314</v>
      </c>
      <c r="J43" s="1057">
        <v>-0.16095890410958905</v>
      </c>
      <c r="K43" s="1057">
        <v>-6.3012372902119322</v>
      </c>
      <c r="L43" s="1057">
        <v>-0.38158246458166267</v>
      </c>
      <c r="M43" s="1057">
        <v>-3.619867178000187E-2</v>
      </c>
      <c r="N43" s="1057">
        <v>-0.47509074978094878</v>
      </c>
      <c r="O43" s="1057">
        <v>-0.78087862197890234</v>
      </c>
      <c r="P43" s="1057">
        <v>2.1258995781288776E-2</v>
      </c>
      <c r="Q43" s="1057">
        <v>6.4911032028469748E-2</v>
      </c>
      <c r="R43" s="1057">
        <v>-3.2881800305877215E-2</v>
      </c>
      <c r="S43" s="1057">
        <v>0.24237871674491393</v>
      </c>
      <c r="T43" s="1057">
        <v>-6.8072076316099406E-2</v>
      </c>
      <c r="U43" s="1057">
        <v>-0.91159539473684215</v>
      </c>
      <c r="V43" s="1057">
        <v>-0.43875486381322959</v>
      </c>
      <c r="W43" s="1057">
        <v>-0.35420663195396002</v>
      </c>
      <c r="X43" s="1057">
        <v>-0.21650154295923341</v>
      </c>
      <c r="Y43" s="1057">
        <v>-0.47734418346587759</v>
      </c>
      <c r="Z43" s="1057">
        <v>-0.67654187988149739</v>
      </c>
      <c r="AA43" s="1057">
        <v>-9.3964744547355844E-2</v>
      </c>
      <c r="AB43" s="1057">
        <v>11.353293413173652</v>
      </c>
      <c r="AC43" s="1057">
        <v>-7.087301587301587</v>
      </c>
      <c r="AD43" s="1057">
        <v>-1.1840796019900497</v>
      </c>
      <c r="AE43" s="1057">
        <v>0.63701923076923073</v>
      </c>
      <c r="AF43" s="1057">
        <v>0.90581717451523547</v>
      </c>
      <c r="AG43" s="1057">
        <v>1.2828947368421053</v>
      </c>
      <c r="AH43" s="1057">
        <v>0.50085861476817406</v>
      </c>
      <c r="AI43" s="1057">
        <v>0.47147147147147145</v>
      </c>
      <c r="AJ43" s="1057" t="e">
        <v>#REF!</v>
      </c>
      <c r="AK43" s="1057" t="e">
        <v>#REF!</v>
      </c>
      <c r="AL43" s="1057" t="e">
        <v>#REF!</v>
      </c>
      <c r="AM43" s="1057" t="e">
        <v>#REF!</v>
      </c>
      <c r="AN43" s="1057" t="e">
        <v>#REF!</v>
      </c>
      <c r="AO43" s="1057" t="e">
        <v>#REF!</v>
      </c>
      <c r="AP43" s="1057" t="e">
        <v>#REF!</v>
      </c>
      <c r="AQ43" s="1057" t="e">
        <v>#REF!</v>
      </c>
      <c r="AR43" s="1057" t="e">
        <v>#REF!</v>
      </c>
      <c r="AS43" s="1057" t="e">
        <v>#REF!</v>
      </c>
      <c r="AT43" s="1057" t="e">
        <v>#REF!</v>
      </c>
      <c r="AU43" s="1057" t="e">
        <v>#REF!</v>
      </c>
      <c r="AV43" s="1057" t="e">
        <v>#REF!</v>
      </c>
      <c r="AW43" s="1057" t="e">
        <v>#REF!</v>
      </c>
      <c r="AX43" s="1057"/>
      <c r="AY43" s="1057">
        <v>-1.4877683080808082</v>
      </c>
      <c r="AZ43" s="1057">
        <v>-0.24734911099463774</v>
      </c>
      <c r="BA43" s="2010">
        <v>-124.04191970861704</v>
      </c>
      <c r="BB43" s="975"/>
      <c r="BC43" s="1057"/>
      <c r="BD43" s="1057">
        <v>-1.4877683080808082</v>
      </c>
      <c r="BE43" s="1057">
        <v>-0.24734911099463774</v>
      </c>
      <c r="BF43" s="1057">
        <v>-3.7444132626546098E-2</v>
      </c>
      <c r="BG43" s="1057">
        <v>-0.36848973780994188</v>
      </c>
      <c r="BH43" s="1057">
        <v>-0.65030499428135724</v>
      </c>
      <c r="BI43" s="1057">
        <v>-0.25814332247557004</v>
      </c>
      <c r="BJ43" s="1057">
        <f>BJ33/BJ17</f>
        <v>0.58381404818459448</v>
      </c>
      <c r="BK43" s="1057">
        <v>0.37885267659637223</v>
      </c>
      <c r="BL43" s="1057">
        <v>0.44590922813726475</v>
      </c>
      <c r="BM43" s="1057">
        <v>0.68597848650688809</v>
      </c>
      <c r="BN43" s="1352">
        <f>BN33/BN17</f>
        <v>0.33309769658459093</v>
      </c>
      <c r="BO43" s="1352">
        <f>BO33/BO17</f>
        <v>0.26208975794642086</v>
      </c>
      <c r="BP43" s="1352">
        <v>0.18800000000000006</v>
      </c>
      <c r="BQ43" s="1226"/>
      <c r="BR43" s="2171"/>
      <c r="BS43" s="1402"/>
      <c r="BV43" s="1402"/>
    </row>
    <row r="44" spans="1:74" s="1211" customFormat="1" ht="12.75" customHeight="1" x14ac:dyDescent="0.2">
      <c r="A44" s="1239"/>
      <c r="B44" s="970"/>
      <c r="C44" s="1057"/>
      <c r="D44" s="1057"/>
      <c r="E44" s="939"/>
      <c r="F44" s="1203"/>
      <c r="G44" s="1203"/>
      <c r="H44" s="1203"/>
      <c r="I44" s="1203"/>
      <c r="J44" s="1244"/>
      <c r="K44" s="1244"/>
      <c r="L44" s="1244"/>
      <c r="M44" s="1244"/>
      <c r="N44" s="1244"/>
      <c r="O44" s="1244"/>
      <c r="P44" s="1244"/>
      <c r="Q44" s="1244"/>
      <c r="R44" s="1244"/>
      <c r="S44" s="1244"/>
      <c r="T44" s="1244"/>
      <c r="U44" s="1244"/>
      <c r="V44" s="1244"/>
      <c r="W44" s="1244"/>
      <c r="X44" s="1244"/>
      <c r="Y44" s="1244"/>
      <c r="Z44" s="1057"/>
      <c r="AA44" s="1057"/>
      <c r="AB44" s="1057"/>
      <c r="AC44" s="1244"/>
      <c r="AD44" s="1057"/>
      <c r="AE44" s="1057"/>
      <c r="AF44" s="1057"/>
      <c r="AG44" s="1244"/>
      <c r="AH44" s="1057"/>
      <c r="AI44" s="1057"/>
      <c r="AJ44" s="1057"/>
      <c r="AK44" s="1244"/>
      <c r="AL44" s="1057"/>
      <c r="AM44" s="1057"/>
      <c r="AN44" s="1057"/>
      <c r="AO44" s="1244"/>
      <c r="AP44" s="1244"/>
      <c r="AQ44" s="1244"/>
      <c r="AR44" s="1244"/>
      <c r="AS44" s="1244"/>
      <c r="AT44" s="1244"/>
      <c r="AU44" s="1244"/>
      <c r="AV44" s="1244"/>
      <c r="AW44" s="1244"/>
      <c r="AX44" s="1057"/>
      <c r="AY44" s="1057"/>
      <c r="AZ44" s="1057"/>
      <c r="BA44" s="1028"/>
      <c r="BB44" s="975"/>
      <c r="BC44" s="1057"/>
      <c r="BD44" s="1244"/>
      <c r="BE44" s="2203"/>
      <c r="BF44" s="2030"/>
      <c r="BG44" s="2030"/>
      <c r="BH44" s="2030"/>
      <c r="BI44" s="2030"/>
      <c r="BJ44" s="1057"/>
      <c r="BK44" s="1057"/>
      <c r="BL44" s="1057"/>
      <c r="BM44" s="1057"/>
      <c r="BN44" s="1352"/>
      <c r="BO44" s="1352"/>
      <c r="BP44" s="1352"/>
      <c r="BQ44" s="1226"/>
      <c r="BR44" s="2171"/>
      <c r="BS44" s="1402"/>
      <c r="BV44" s="1402"/>
    </row>
    <row r="45" spans="1:74" s="1211" customFormat="1" ht="12.75" customHeight="1" x14ac:dyDescent="0.2">
      <c r="A45" s="1235" t="s">
        <v>88</v>
      </c>
      <c r="B45" s="970"/>
      <c r="C45" s="1277">
        <v>-26</v>
      </c>
      <c r="D45" s="975">
        <v>-0.25490196078431371</v>
      </c>
      <c r="E45" s="926"/>
      <c r="F45" s="2002">
        <v>0</v>
      </c>
      <c r="G45" s="2002">
        <v>0</v>
      </c>
      <c r="H45" s="2002">
        <v>0</v>
      </c>
      <c r="I45" s="2002">
        <v>76</v>
      </c>
      <c r="J45" s="2032">
        <v>91</v>
      </c>
      <c r="K45" s="2032">
        <v>95</v>
      </c>
      <c r="L45" s="2032">
        <v>100</v>
      </c>
      <c r="M45" s="2032">
        <v>102</v>
      </c>
      <c r="N45" s="2032">
        <v>102</v>
      </c>
      <c r="O45" s="2032">
        <v>100</v>
      </c>
      <c r="P45" s="2032">
        <v>99</v>
      </c>
      <c r="Q45" s="2032">
        <v>101</v>
      </c>
      <c r="R45" s="2032">
        <v>101</v>
      </c>
      <c r="S45" s="2032">
        <v>102</v>
      </c>
      <c r="T45" s="2032">
        <v>100</v>
      </c>
      <c r="U45" s="2032">
        <v>98</v>
      </c>
      <c r="V45" s="2032">
        <v>98</v>
      </c>
      <c r="W45" s="2032">
        <v>99</v>
      </c>
      <c r="X45" s="2032">
        <v>96</v>
      </c>
      <c r="Y45" s="2032">
        <v>93</v>
      </c>
      <c r="Z45" s="2032">
        <v>80</v>
      </c>
      <c r="AA45" s="2032">
        <v>69</v>
      </c>
      <c r="AB45" s="2032">
        <v>36</v>
      </c>
      <c r="AC45" s="2032">
        <v>36</v>
      </c>
      <c r="AD45" s="2032">
        <v>41</v>
      </c>
      <c r="AE45" s="2032">
        <v>1</v>
      </c>
      <c r="AF45" s="2032">
        <v>1</v>
      </c>
      <c r="AG45" s="2032">
        <v>1</v>
      </c>
      <c r="AH45" s="2032">
        <v>1</v>
      </c>
      <c r="AI45" s="2032">
        <v>1</v>
      </c>
      <c r="AJ45" s="2032">
        <v>1</v>
      </c>
      <c r="AK45" s="2032">
        <v>7</v>
      </c>
      <c r="AL45" s="969">
        <v>114</v>
      </c>
      <c r="AM45" s="1244">
        <v>117</v>
      </c>
      <c r="AN45" s="1244">
        <v>127</v>
      </c>
      <c r="AO45" s="1244">
        <v>125</v>
      </c>
      <c r="AP45" s="1244">
        <v>125</v>
      </c>
      <c r="AQ45" s="1244">
        <v>116</v>
      </c>
      <c r="AR45" s="1244">
        <v>109</v>
      </c>
      <c r="AS45" s="1244">
        <v>104</v>
      </c>
      <c r="AT45" s="1244">
        <v>93</v>
      </c>
      <c r="AU45" s="1244">
        <v>95</v>
      </c>
      <c r="AV45" s="1244">
        <v>89</v>
      </c>
      <c r="AW45" s="1244">
        <v>88</v>
      </c>
      <c r="AX45" s="2012"/>
      <c r="AY45" s="2033">
        <v>91</v>
      </c>
      <c r="AZ45" s="2034">
        <v>102</v>
      </c>
      <c r="BA45" s="1028">
        <v>-11</v>
      </c>
      <c r="BB45" s="975">
        <v>-0.10784313725490197</v>
      </c>
      <c r="BC45" s="2019"/>
      <c r="BD45" s="2032">
        <v>91</v>
      </c>
      <c r="BE45" s="2203">
        <v>102</v>
      </c>
      <c r="BF45" s="2030">
        <v>101</v>
      </c>
      <c r="BG45" s="2030">
        <v>98</v>
      </c>
      <c r="BH45" s="2030">
        <v>80</v>
      </c>
      <c r="BI45" s="2030">
        <v>41</v>
      </c>
      <c r="BJ45" s="2030">
        <f>+'12 Misc Operating Stats'!BJ25</f>
        <v>1</v>
      </c>
      <c r="BK45" s="2030">
        <f>+'12 Misc Operating Stats'!BK25</f>
        <v>9</v>
      </c>
      <c r="BL45" s="1295">
        <v>1</v>
      </c>
      <c r="BM45" s="1295">
        <v>1</v>
      </c>
      <c r="BN45" s="1523">
        <v>81</v>
      </c>
      <c r="BO45" s="1523">
        <v>70</v>
      </c>
      <c r="BP45" s="1523">
        <v>52</v>
      </c>
      <c r="BQ45" s="1226"/>
      <c r="BR45" s="2171"/>
      <c r="BS45" s="1402"/>
      <c r="BV45" s="1402"/>
    </row>
    <row r="46" spans="1:74" s="1211" customFormat="1" ht="12.75" customHeight="1" x14ac:dyDescent="0.2">
      <c r="A46" s="1235"/>
      <c r="B46" s="970"/>
      <c r="C46" s="1277"/>
      <c r="D46" s="975"/>
      <c r="E46" s="926"/>
      <c r="F46" s="1189"/>
      <c r="G46" s="1203"/>
      <c r="H46" s="1203"/>
      <c r="I46" s="1203"/>
      <c r="J46" s="1235"/>
      <c r="K46" s="1244"/>
      <c r="L46" s="1244"/>
      <c r="M46" s="1244"/>
      <c r="N46" s="1244"/>
      <c r="O46" s="1244"/>
      <c r="P46" s="1244"/>
      <c r="Q46" s="1244"/>
      <c r="R46" s="1244"/>
      <c r="S46" s="1244"/>
      <c r="T46" s="1244"/>
      <c r="U46" s="1244"/>
      <c r="V46" s="1244"/>
      <c r="W46" s="1244"/>
      <c r="X46" s="1244"/>
      <c r="Y46" s="1244"/>
      <c r="Z46" s="969"/>
      <c r="AA46" s="1244"/>
      <c r="AB46" s="1244"/>
      <c r="AC46" s="1244"/>
      <c r="AD46" s="969"/>
      <c r="AE46" s="1244"/>
      <c r="AF46" s="1244"/>
      <c r="AG46" s="1244"/>
      <c r="AH46" s="969"/>
      <c r="AI46" s="1244"/>
      <c r="AJ46" s="1244"/>
      <c r="AK46" s="1244"/>
      <c r="AL46" s="969"/>
      <c r="AM46" s="1244"/>
      <c r="AN46" s="1244"/>
      <c r="AO46" s="1244"/>
      <c r="AP46" s="1244"/>
      <c r="AQ46" s="1244"/>
      <c r="AR46" s="1244"/>
      <c r="AS46" s="1244"/>
      <c r="AT46" s="1244"/>
      <c r="AU46" s="1244"/>
      <c r="AV46" s="1244"/>
      <c r="AW46" s="1244"/>
      <c r="AX46" s="2012"/>
      <c r="AY46" s="2029"/>
      <c r="AZ46" s="2019"/>
      <c r="BA46" s="1028"/>
      <c r="BB46" s="975"/>
      <c r="BC46" s="2019"/>
      <c r="BD46" s="2030"/>
      <c r="BE46" s="2030"/>
      <c r="BF46" s="2030"/>
      <c r="BG46" s="2030"/>
      <c r="BH46" s="2030"/>
      <c r="BI46" s="2030"/>
      <c r="BJ46" s="1478"/>
      <c r="BK46" s="1478"/>
      <c r="BL46" s="1235"/>
      <c r="BM46" s="1235"/>
      <c r="BN46" s="1523"/>
      <c r="BO46" s="1523"/>
      <c r="BP46" s="1523"/>
      <c r="BQ46" s="1226"/>
      <c r="BR46" s="2171"/>
      <c r="BS46" s="1402"/>
      <c r="BV46" s="1402"/>
    </row>
    <row r="47" spans="1:74" ht="18" customHeight="1" x14ac:dyDescent="0.2">
      <c r="A47" s="1428" t="s">
        <v>252</v>
      </c>
      <c r="B47" s="969"/>
      <c r="C47" s="1235"/>
      <c r="D47" s="1235"/>
      <c r="E47" s="1188"/>
      <c r="F47" s="1188"/>
      <c r="G47" s="918"/>
      <c r="H47" s="918"/>
      <c r="I47" s="918"/>
      <c r="J47" s="1251"/>
      <c r="K47" s="969"/>
      <c r="L47" s="969"/>
      <c r="M47" s="969"/>
      <c r="N47" s="969"/>
      <c r="O47" s="969"/>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c r="AN47" s="969"/>
      <c r="AO47" s="969"/>
      <c r="AP47" s="969"/>
      <c r="AQ47" s="969"/>
      <c r="AR47" s="1244"/>
      <c r="AS47" s="1244"/>
      <c r="AT47" s="1244"/>
      <c r="AU47" s="1244"/>
      <c r="AV47" s="1244"/>
      <c r="AW47" s="1244"/>
      <c r="AX47" s="969"/>
      <c r="AY47" s="1244"/>
      <c r="AZ47" s="1235"/>
      <c r="BA47" s="2015"/>
      <c r="BB47" s="2015"/>
      <c r="BC47" s="1235"/>
      <c r="BD47" s="1822"/>
      <c r="BE47" s="1822"/>
      <c r="BF47" s="1822"/>
      <c r="BG47" s="1822"/>
      <c r="BH47" s="1822"/>
      <c r="BI47" s="2015"/>
      <c r="BJ47" s="1235"/>
      <c r="BK47" s="1235"/>
      <c r="BL47" s="1235"/>
      <c r="BM47" s="1235"/>
      <c r="BN47" s="1349"/>
      <c r="BO47" s="1349"/>
      <c r="BP47" s="1349"/>
      <c r="BQ47" s="1226"/>
      <c r="BR47" s="1226"/>
      <c r="BS47" s="1181"/>
      <c r="BV47" s="1181"/>
    </row>
    <row r="48" spans="1:74" ht="12.75" customHeight="1" x14ac:dyDescent="0.2">
      <c r="A48" s="1429"/>
      <c r="B48" s="969"/>
      <c r="C48" s="1235"/>
      <c r="D48" s="1235"/>
      <c r="E48" s="1188"/>
      <c r="F48" s="1188"/>
      <c r="G48" s="918"/>
      <c r="H48" s="918"/>
      <c r="I48" s="918"/>
      <c r="J48" s="1251"/>
      <c r="K48" s="969"/>
      <c r="L48" s="969"/>
      <c r="M48" s="969"/>
      <c r="N48" s="969"/>
      <c r="O48" s="969"/>
      <c r="P48" s="969"/>
      <c r="Q48" s="969"/>
      <c r="R48" s="969"/>
      <c r="S48" s="969"/>
      <c r="T48" s="969"/>
      <c r="U48" s="969"/>
      <c r="V48" s="969"/>
      <c r="W48" s="969"/>
      <c r="X48" s="969"/>
      <c r="Y48" s="969"/>
      <c r="Z48" s="1357"/>
      <c r="AA48" s="969"/>
      <c r="AB48" s="969"/>
      <c r="AC48" s="969"/>
      <c r="AD48" s="1357"/>
      <c r="AE48" s="969"/>
      <c r="AF48" s="1357"/>
      <c r="AG48" s="969"/>
      <c r="AH48" s="1357"/>
      <c r="AI48" s="969"/>
      <c r="AJ48" s="1357"/>
      <c r="AK48" s="969"/>
      <c r="AL48" s="1357"/>
      <c r="AM48" s="969"/>
      <c r="AN48" s="969"/>
      <c r="AO48" s="969"/>
      <c r="AP48" s="969"/>
      <c r="AQ48" s="969"/>
      <c r="AR48" s="1244"/>
      <c r="AS48" s="1244"/>
      <c r="AT48" s="1244"/>
      <c r="AU48" s="1244"/>
      <c r="AV48" s="1244"/>
      <c r="AW48" s="1244"/>
      <c r="AX48" s="969"/>
      <c r="AY48" s="1244"/>
      <c r="AZ48" s="1235"/>
      <c r="BA48" s="2015"/>
      <c r="BB48" s="2015"/>
      <c r="BC48" s="1235"/>
      <c r="BD48" s="2015"/>
      <c r="BE48" s="2015"/>
      <c r="BF48" s="2015"/>
      <c r="BG48" s="2015"/>
      <c r="BH48" s="2015"/>
      <c r="BI48" s="2015"/>
      <c r="BJ48" s="1235"/>
      <c r="BK48" s="1235"/>
      <c r="BL48" s="1235"/>
      <c r="BM48" s="1235"/>
      <c r="BN48" s="1349"/>
      <c r="BO48" s="1349"/>
      <c r="BP48" s="1349"/>
      <c r="BQ48" s="1226"/>
      <c r="BR48" s="1226"/>
      <c r="BS48" s="1181"/>
      <c r="BV48" s="1181"/>
    </row>
    <row r="49" spans="1:74" ht="12.75" customHeight="1" x14ac:dyDescent="0.2">
      <c r="A49" s="968"/>
      <c r="B49" s="969"/>
      <c r="C49" s="2455" t="s">
        <v>456</v>
      </c>
      <c r="D49" s="2456"/>
      <c r="E49" s="919"/>
      <c r="F49" s="921"/>
      <c r="G49" s="921"/>
      <c r="H49" s="1878"/>
      <c r="I49" s="2348"/>
      <c r="J49" s="1000"/>
      <c r="K49" s="1000"/>
      <c r="L49" s="1888"/>
      <c r="M49" s="1889"/>
      <c r="N49" s="1000"/>
      <c r="O49" s="1000"/>
      <c r="P49" s="1888"/>
      <c r="Q49" s="1889"/>
      <c r="R49" s="1000"/>
      <c r="S49" s="1000"/>
      <c r="T49" s="1888"/>
      <c r="U49" s="1889"/>
      <c r="V49" s="1888"/>
      <c r="W49" s="1888"/>
      <c r="X49" s="1888"/>
      <c r="Y49" s="1889"/>
      <c r="Z49" s="1888"/>
      <c r="AA49" s="1888"/>
      <c r="AB49" s="1888"/>
      <c r="AC49" s="1888"/>
      <c r="AD49" s="1782"/>
      <c r="AE49" s="1888"/>
      <c r="AF49" s="1888"/>
      <c r="AG49" s="1888"/>
      <c r="AH49" s="1782"/>
      <c r="AI49" s="1888"/>
      <c r="AJ49" s="1888"/>
      <c r="AK49" s="1888"/>
      <c r="AL49" s="1782"/>
      <c r="AM49" s="1888"/>
      <c r="AN49" s="1889"/>
      <c r="AO49" s="1889"/>
      <c r="AP49" s="1889"/>
      <c r="AQ49" s="1633"/>
      <c r="AR49" s="1633"/>
      <c r="AS49" s="1608"/>
      <c r="AT49" s="1633"/>
      <c r="AU49" s="1608"/>
      <c r="AV49" s="1608"/>
      <c r="AW49" s="1633"/>
      <c r="AX49" s="1687"/>
      <c r="AY49" s="1006" t="s">
        <v>448</v>
      </c>
      <c r="AZ49" s="1006"/>
      <c r="BA49" s="1006" t="s">
        <v>441</v>
      </c>
      <c r="BB49" s="1007"/>
      <c r="BC49" s="1008"/>
      <c r="BD49" s="2273"/>
      <c r="BE49" s="2273"/>
      <c r="BF49" s="2273"/>
      <c r="BG49" s="2273"/>
      <c r="BH49" s="2273"/>
      <c r="BI49" s="2273"/>
      <c r="BJ49" s="1009"/>
      <c r="BK49" s="1009"/>
      <c r="BL49" s="1527"/>
      <c r="BM49" s="1527"/>
      <c r="BN49" s="1009"/>
      <c r="BO49" s="1009"/>
      <c r="BP49" s="2273"/>
      <c r="BQ49" s="1266"/>
      <c r="BR49" s="1226"/>
      <c r="BS49" s="1181"/>
      <c r="BV49" s="1181"/>
    </row>
    <row r="50" spans="1:74" ht="12.75" customHeight="1" x14ac:dyDescent="0.2">
      <c r="A50" s="968" t="s">
        <v>2</v>
      </c>
      <c r="B50" s="2011"/>
      <c r="C50" s="2457" t="s">
        <v>39</v>
      </c>
      <c r="D50" s="2458"/>
      <c r="E50" s="924"/>
      <c r="F50" s="925" t="s">
        <v>452</v>
      </c>
      <c r="G50" s="925" t="s">
        <v>453</v>
      </c>
      <c r="H50" s="925" t="s">
        <v>454</v>
      </c>
      <c r="I50" s="2281" t="s">
        <v>455</v>
      </c>
      <c r="J50" s="1010" t="s">
        <v>399</v>
      </c>
      <c r="K50" s="1010" t="s">
        <v>398</v>
      </c>
      <c r="L50" s="1010" t="s">
        <v>397</v>
      </c>
      <c r="M50" s="1011" t="s">
        <v>395</v>
      </c>
      <c r="N50" s="1010" t="s">
        <v>373</v>
      </c>
      <c r="O50" s="1010" t="s">
        <v>374</v>
      </c>
      <c r="P50" s="1010" t="s">
        <v>375</v>
      </c>
      <c r="Q50" s="1011" t="s">
        <v>376</v>
      </c>
      <c r="R50" s="1010" t="s">
        <v>330</v>
      </c>
      <c r="S50" s="1667" t="s">
        <v>329</v>
      </c>
      <c r="T50" s="1667" t="s">
        <v>328</v>
      </c>
      <c r="U50" s="1668" t="s">
        <v>326</v>
      </c>
      <c r="V50" s="1667" t="s">
        <v>282</v>
      </c>
      <c r="W50" s="1667" t="s">
        <v>283</v>
      </c>
      <c r="X50" s="1667" t="s">
        <v>284</v>
      </c>
      <c r="Y50" s="1668" t="s">
        <v>285</v>
      </c>
      <c r="Z50" s="1667" t="s">
        <v>220</v>
      </c>
      <c r="AA50" s="1667" t="s">
        <v>221</v>
      </c>
      <c r="AB50" s="1667" t="s">
        <v>222</v>
      </c>
      <c r="AC50" s="1668" t="s">
        <v>219</v>
      </c>
      <c r="AD50" s="1669" t="s">
        <v>185</v>
      </c>
      <c r="AE50" s="1667" t="s">
        <v>186</v>
      </c>
      <c r="AF50" s="1667" t="s">
        <v>187</v>
      </c>
      <c r="AG50" s="1667" t="e">
        <v>#REF!</v>
      </c>
      <c r="AH50" s="1669" t="s">
        <v>118</v>
      </c>
      <c r="AI50" s="1667" t="s">
        <v>117</v>
      </c>
      <c r="AJ50" s="1667" t="s">
        <v>116</v>
      </c>
      <c r="AK50" s="1667" t="s">
        <v>115</v>
      </c>
      <c r="AL50" s="1669" t="s">
        <v>83</v>
      </c>
      <c r="AM50" s="1667" t="s">
        <v>84</v>
      </c>
      <c r="AN50" s="1668" t="s">
        <v>85</v>
      </c>
      <c r="AO50" s="1668" t="s">
        <v>30</v>
      </c>
      <c r="AP50" s="1668" t="s">
        <v>30</v>
      </c>
      <c r="AQ50" s="1633"/>
      <c r="AR50" s="1633"/>
      <c r="AS50" s="1608"/>
      <c r="AT50" s="1633"/>
      <c r="AU50" s="1608"/>
      <c r="AV50" s="1608"/>
      <c r="AW50" s="1633"/>
      <c r="AX50" s="1687"/>
      <c r="AY50" s="1010" t="s">
        <v>399</v>
      </c>
      <c r="AZ50" s="1010" t="s">
        <v>373</v>
      </c>
      <c r="BA50" s="2485" t="s">
        <v>39</v>
      </c>
      <c r="BB50" s="2458"/>
      <c r="BC50" s="1362"/>
      <c r="BD50" s="1013" t="s">
        <v>438</v>
      </c>
      <c r="BE50" s="1012" t="s">
        <v>385</v>
      </c>
      <c r="BF50" s="1012" t="s">
        <v>332</v>
      </c>
      <c r="BG50" s="2014" t="s">
        <v>287</v>
      </c>
      <c r="BH50" s="2014" t="s">
        <v>224</v>
      </c>
      <c r="BI50" s="2014" t="s">
        <v>120</v>
      </c>
      <c r="BJ50" s="1013" t="s">
        <v>119</v>
      </c>
      <c r="BK50" s="1013" t="s">
        <v>43</v>
      </c>
      <c r="BL50" s="1013" t="s">
        <v>40</v>
      </c>
      <c r="BM50" s="1013" t="s">
        <v>41</v>
      </c>
      <c r="BN50" s="1013" t="s">
        <v>138</v>
      </c>
      <c r="BO50" s="1013" t="s">
        <v>139</v>
      </c>
      <c r="BP50" s="1012" t="s">
        <v>140</v>
      </c>
      <c r="BQ50" s="1266"/>
      <c r="BR50" s="1226"/>
      <c r="BS50" s="1181"/>
      <c r="BV50" s="1181"/>
    </row>
    <row r="51" spans="1:74" ht="12.75" customHeight="1" x14ac:dyDescent="0.2">
      <c r="A51" s="1250"/>
      <c r="B51" s="1251" t="s">
        <v>4</v>
      </c>
      <c r="C51" s="1432">
        <v>1605</v>
      </c>
      <c r="D51" s="1056">
        <v>0.15012627443644186</v>
      </c>
      <c r="E51" s="1187"/>
      <c r="F51" s="1191">
        <v>0</v>
      </c>
      <c r="G51" s="1191">
        <v>0</v>
      </c>
      <c r="H51" s="1191">
        <v>0</v>
      </c>
      <c r="I51" s="2288">
        <v>12296</v>
      </c>
      <c r="J51" s="1280">
        <v>11680</v>
      </c>
      <c r="K51" s="1280">
        <v>8163</v>
      </c>
      <c r="L51" s="1280">
        <v>7482</v>
      </c>
      <c r="M51" s="1296">
        <v>10691</v>
      </c>
      <c r="N51" s="1280">
        <v>15978</v>
      </c>
      <c r="O51" s="1280">
        <v>7489</v>
      </c>
      <c r="P51" s="1280">
        <v>12089</v>
      </c>
      <c r="Q51" s="1296">
        <v>14050</v>
      </c>
      <c r="R51" s="1280">
        <v>9154</v>
      </c>
      <c r="S51" s="1280">
        <v>15975</v>
      </c>
      <c r="T51" s="1280">
        <v>8491</v>
      </c>
      <c r="U51" s="1296">
        <v>4864</v>
      </c>
      <c r="V51" s="1294">
        <v>6425</v>
      </c>
      <c r="W51" s="1294">
        <v>7298</v>
      </c>
      <c r="X51" s="1294">
        <v>6157</v>
      </c>
      <c r="Y51" s="1296">
        <v>5407</v>
      </c>
      <c r="Z51" s="1294">
        <v>3713</v>
      </c>
      <c r="AA51" s="1294">
        <v>6694</v>
      </c>
      <c r="AB51" s="1294">
        <v>-167</v>
      </c>
      <c r="AC51" s="1528">
        <v>252</v>
      </c>
      <c r="AD51" s="1280">
        <v>603</v>
      </c>
      <c r="AE51" s="1280">
        <v>416</v>
      </c>
      <c r="AF51" s="1280">
        <v>361</v>
      </c>
      <c r="AG51" s="1528">
        <v>-152</v>
      </c>
      <c r="AH51" s="1280">
        <v>3494</v>
      </c>
      <c r="AI51" s="1280">
        <v>333</v>
      </c>
      <c r="AJ51" s="1280" t="e">
        <v>#REF!</v>
      </c>
      <c r="AK51" s="1528" t="e">
        <v>#REF!</v>
      </c>
      <c r="AL51" s="1545" t="e">
        <v>#REF!</v>
      </c>
      <c r="AM51" s="1280" t="e">
        <v>#REF!</v>
      </c>
      <c r="AN51" s="1280" t="e">
        <v>#REF!</v>
      </c>
      <c r="AO51" s="1528" t="e">
        <v>#REF!</v>
      </c>
      <c r="AP51" s="1487" t="e">
        <v>#REF!</v>
      </c>
      <c r="AQ51" s="1487" t="e">
        <v>#REF!</v>
      </c>
      <c r="AR51" s="1487" t="e">
        <v>#REF!</v>
      </c>
      <c r="AS51" s="1479" t="e">
        <v>#REF!</v>
      </c>
      <c r="AT51" s="1504" t="e">
        <v>#REF!</v>
      </c>
      <c r="AU51" s="1479" t="e">
        <v>#REF!</v>
      </c>
      <c r="AV51" s="1479" t="e">
        <v>#REF!</v>
      </c>
      <c r="AW51" s="1479" t="e">
        <v>#REF!</v>
      </c>
      <c r="AX51" s="1274"/>
      <c r="AY51" s="2018">
        <v>38016</v>
      </c>
      <c r="AZ51" s="2018">
        <v>49606</v>
      </c>
      <c r="BA51" s="2035">
        <v>-11590</v>
      </c>
      <c r="BB51" s="1056">
        <v>-0.23364109180341089</v>
      </c>
      <c r="BC51" s="1235"/>
      <c r="BD51" s="2036">
        <v>38016</v>
      </c>
      <c r="BE51" s="2252">
        <v>49606</v>
      </c>
      <c r="BF51" s="2036">
        <v>38484</v>
      </c>
      <c r="BG51" s="2036">
        <v>25287</v>
      </c>
      <c r="BH51" s="2036">
        <v>10492</v>
      </c>
      <c r="BI51" s="2036">
        <v>1228</v>
      </c>
      <c r="BJ51" s="1327">
        <v>5894</v>
      </c>
      <c r="BK51" s="1327">
        <v>6781</v>
      </c>
      <c r="BL51" s="1447">
        <v>9937</v>
      </c>
      <c r="BM51" s="1447">
        <v>15897</v>
      </c>
      <c r="BN51" s="2037">
        <f>BN17</f>
        <v>125900</v>
      </c>
      <c r="BO51" s="2037">
        <f>BO17</f>
        <v>116090</v>
      </c>
      <c r="BP51" s="1432">
        <f>BP17</f>
        <v>84489</v>
      </c>
      <c r="BQ51" s="1266"/>
      <c r="BR51" s="1226"/>
      <c r="BS51" s="1181"/>
      <c r="BV51" s="1181"/>
    </row>
    <row r="52" spans="1:74" ht="12.75" customHeight="1" x14ac:dyDescent="0.2">
      <c r="A52" s="1235"/>
      <c r="B52" s="1251" t="s">
        <v>82</v>
      </c>
      <c r="C52" s="1252">
        <v>-154</v>
      </c>
      <c r="D52" s="1056">
        <v>-1.4902264370040642E-2</v>
      </c>
      <c r="E52" s="949"/>
      <c r="F52" s="1206">
        <v>0</v>
      </c>
      <c r="G52" s="1206">
        <v>0</v>
      </c>
      <c r="H52" s="1206">
        <v>0</v>
      </c>
      <c r="I52" s="2288">
        <v>10180</v>
      </c>
      <c r="J52" s="1310">
        <v>11643</v>
      </c>
      <c r="K52" s="1310">
        <v>9279</v>
      </c>
      <c r="L52" s="1310">
        <v>9597</v>
      </c>
      <c r="M52" s="1296">
        <v>10334</v>
      </c>
      <c r="N52" s="1310">
        <v>12310</v>
      </c>
      <c r="O52" s="1310">
        <v>8049</v>
      </c>
      <c r="P52" s="1310">
        <v>11056</v>
      </c>
      <c r="Q52" s="1296">
        <v>12328</v>
      </c>
      <c r="R52" s="1310">
        <v>8685</v>
      </c>
      <c r="S52" s="1310">
        <v>11355</v>
      </c>
      <c r="T52" s="1310">
        <v>8342</v>
      </c>
      <c r="U52" s="1296"/>
      <c r="V52" s="1322"/>
      <c r="W52" s="1322"/>
      <c r="X52" s="1322"/>
      <c r="Y52" s="1296"/>
      <c r="Z52" s="1322"/>
      <c r="AA52" s="1322"/>
      <c r="AB52" s="1322"/>
      <c r="AC52" s="1528"/>
      <c r="AD52" s="1310"/>
      <c r="AE52" s="1310"/>
      <c r="AF52" s="1310"/>
      <c r="AG52" s="1528"/>
      <c r="AH52" s="1310"/>
      <c r="AI52" s="1310"/>
      <c r="AJ52" s="1310"/>
      <c r="AK52" s="1528"/>
      <c r="AL52" s="1310"/>
      <c r="AM52" s="1310"/>
      <c r="AN52" s="1310"/>
      <c r="AO52" s="1528"/>
      <c r="AP52" s="1478"/>
      <c r="AQ52" s="1478"/>
      <c r="AR52" s="1478"/>
      <c r="AS52" s="1477"/>
      <c r="AT52" s="1447"/>
      <c r="AU52" s="1477"/>
      <c r="AV52" s="1477"/>
      <c r="AW52" s="1477"/>
      <c r="AX52" s="1274"/>
      <c r="AY52" s="2018">
        <v>40853</v>
      </c>
      <c r="AZ52" s="2018">
        <v>43743</v>
      </c>
      <c r="BA52" s="1028">
        <v>-2890</v>
      </c>
      <c r="BB52" s="1056">
        <v>-6.6067713691333477E-2</v>
      </c>
      <c r="BC52" s="1235"/>
      <c r="BD52" s="2038">
        <v>40853</v>
      </c>
      <c r="BE52" s="2038">
        <v>43743</v>
      </c>
      <c r="BF52" s="2213">
        <v>36909</v>
      </c>
      <c r="BG52" s="2038">
        <v>28449</v>
      </c>
      <c r="BH52" s="2038">
        <v>15543</v>
      </c>
      <c r="BI52" s="2038">
        <v>1545</v>
      </c>
      <c r="BJ52" s="1327"/>
      <c r="BK52" s="1327"/>
      <c r="BL52" s="1447"/>
      <c r="BM52" s="1447"/>
      <c r="BN52" s="1054"/>
      <c r="BO52" s="1054"/>
      <c r="BP52" s="979"/>
      <c r="BQ52" s="1266"/>
      <c r="BR52" s="1226"/>
      <c r="BS52" s="1181"/>
      <c r="BV52" s="1181"/>
    </row>
    <row r="53" spans="1:74" s="1955" customFormat="1" ht="24.75" customHeight="1" x14ac:dyDescent="0.2">
      <c r="A53" s="1635"/>
      <c r="B53" s="1624" t="s">
        <v>179</v>
      </c>
      <c r="C53" s="1638">
        <v>1759</v>
      </c>
      <c r="D53" s="1056" t="s">
        <v>42</v>
      </c>
      <c r="E53" s="1595"/>
      <c r="F53" s="1209">
        <v>0</v>
      </c>
      <c r="G53" s="1209">
        <v>0</v>
      </c>
      <c r="H53" s="1209">
        <v>0</v>
      </c>
      <c r="I53" s="2288">
        <v>2116</v>
      </c>
      <c r="J53" s="1322">
        <v>37</v>
      </c>
      <c r="K53" s="1322">
        <v>-1116</v>
      </c>
      <c r="L53" s="1322">
        <v>-2115</v>
      </c>
      <c r="M53" s="1296">
        <v>357</v>
      </c>
      <c r="N53" s="1322">
        <v>3668</v>
      </c>
      <c r="O53" s="1322">
        <v>-560</v>
      </c>
      <c r="P53" s="1322">
        <v>1033</v>
      </c>
      <c r="Q53" s="1296">
        <v>1722</v>
      </c>
      <c r="R53" s="1785">
        <v>469</v>
      </c>
      <c r="S53" s="1785">
        <v>4620</v>
      </c>
      <c r="T53" s="1322">
        <v>149</v>
      </c>
      <c r="U53" s="1296">
        <v>4864</v>
      </c>
      <c r="V53" s="1322">
        <v>6425</v>
      </c>
      <c r="W53" s="1322">
        <v>7298</v>
      </c>
      <c r="X53" s="1785">
        <v>6157</v>
      </c>
      <c r="Y53" s="1296">
        <v>5407</v>
      </c>
      <c r="Z53" s="1322">
        <v>3713</v>
      </c>
      <c r="AA53" s="1322">
        <v>208</v>
      </c>
      <c r="AB53" s="1322">
        <v>-1896</v>
      </c>
      <c r="AC53" s="1296">
        <v>-1786</v>
      </c>
      <c r="AD53" s="1322">
        <v>-714</v>
      </c>
      <c r="AE53" s="1322">
        <v>265</v>
      </c>
      <c r="AF53" s="1322">
        <v>327</v>
      </c>
      <c r="AG53" s="1296">
        <v>-195</v>
      </c>
      <c r="AH53" s="1322">
        <v>1750</v>
      </c>
      <c r="AI53" s="1322">
        <v>157</v>
      </c>
      <c r="AJ53" s="1322" t="e">
        <v>#REF!</v>
      </c>
      <c r="AK53" s="1296" t="e">
        <v>#REF!</v>
      </c>
      <c r="AL53" s="1322" t="e">
        <v>#REF!</v>
      </c>
      <c r="AM53" s="1322" t="e">
        <v>#REF!</v>
      </c>
      <c r="AN53" s="1322" t="e">
        <v>#REF!</v>
      </c>
      <c r="AO53" s="1296" t="e">
        <v>#REF!</v>
      </c>
      <c r="AP53" s="1322" t="e">
        <v>#REF!</v>
      </c>
      <c r="AQ53" s="1322" t="e">
        <v>#REF!</v>
      </c>
      <c r="AR53" s="1322" t="e">
        <v>#REF!</v>
      </c>
      <c r="AS53" s="1322" t="e">
        <v>#REF!</v>
      </c>
      <c r="AT53" s="1240" t="e">
        <v>#REF!</v>
      </c>
      <c r="AU53" s="1293" t="e">
        <v>#REF!</v>
      </c>
      <c r="AV53" s="1293" t="e">
        <v>#REF!</v>
      </c>
      <c r="AW53" s="1293" t="e">
        <v>#REF!</v>
      </c>
      <c r="AX53" s="1297"/>
      <c r="AY53" s="1248">
        <v>-2837</v>
      </c>
      <c r="AZ53" s="1248">
        <v>5863</v>
      </c>
      <c r="BA53" s="1797">
        <v>-8700</v>
      </c>
      <c r="BB53" s="2039">
        <v>-1.4838819716868497</v>
      </c>
      <c r="BC53" s="1635"/>
      <c r="BD53" s="1476">
        <v>-2837</v>
      </c>
      <c r="BE53" s="1297">
        <v>5863</v>
      </c>
      <c r="BF53" s="1314">
        <v>1575</v>
      </c>
      <c r="BG53" s="1297">
        <v>-3162</v>
      </c>
      <c r="BH53" s="1297">
        <v>-5051</v>
      </c>
      <c r="BI53" s="1297">
        <v>-317</v>
      </c>
      <c r="BJ53" s="1297">
        <v>3441</v>
      </c>
      <c r="BK53" s="1297">
        <v>2569</v>
      </c>
      <c r="BL53" s="1800">
        <v>4431</v>
      </c>
      <c r="BM53" s="1801">
        <v>10905</v>
      </c>
      <c r="BN53" s="1802">
        <f>BN51-BN52</f>
        <v>125900</v>
      </c>
      <c r="BO53" s="1802">
        <f>BO51-BO52</f>
        <v>116090</v>
      </c>
      <c r="BP53" s="1619">
        <f>BP51-BP52</f>
        <v>84489</v>
      </c>
      <c r="BQ53" s="2040"/>
      <c r="BR53" s="2363"/>
      <c r="BS53" s="1954"/>
      <c r="BT53" s="1954"/>
      <c r="BU53" s="1954"/>
      <c r="BV53" s="1954"/>
    </row>
    <row r="54" spans="1:74" s="1955" customFormat="1" ht="24.75" customHeight="1" x14ac:dyDescent="0.2">
      <c r="A54" s="1635"/>
      <c r="B54" s="1624" t="s">
        <v>353</v>
      </c>
      <c r="C54" s="1641">
        <v>1759</v>
      </c>
      <c r="D54" s="1234" t="s">
        <v>42</v>
      </c>
      <c r="E54" s="1595"/>
      <c r="F54" s="1224">
        <v>0</v>
      </c>
      <c r="G54" s="1224">
        <v>0</v>
      </c>
      <c r="H54" s="1224">
        <v>0</v>
      </c>
      <c r="I54" s="2316">
        <v>2116</v>
      </c>
      <c r="J54" s="1378">
        <v>37</v>
      </c>
      <c r="K54" s="1378">
        <v>-1116</v>
      </c>
      <c r="L54" s="1378">
        <v>-2115</v>
      </c>
      <c r="M54" s="1532">
        <v>357</v>
      </c>
      <c r="N54" s="1378">
        <v>3668</v>
      </c>
      <c r="O54" s="1378">
        <v>-560</v>
      </c>
      <c r="P54" s="1378">
        <v>1033</v>
      </c>
      <c r="Q54" s="1532">
        <v>1722</v>
      </c>
      <c r="R54" s="1803">
        <v>469</v>
      </c>
      <c r="S54" s="1803">
        <v>4620</v>
      </c>
      <c r="T54" s="1378">
        <v>-1</v>
      </c>
      <c r="U54" s="1532">
        <v>4864</v>
      </c>
      <c r="V54" s="1378">
        <v>6425</v>
      </c>
      <c r="W54" s="1378">
        <v>7298</v>
      </c>
      <c r="X54" s="1803">
        <v>6157</v>
      </c>
      <c r="Y54" s="1532">
        <v>5407</v>
      </c>
      <c r="Z54" s="1378">
        <v>3713</v>
      </c>
      <c r="AA54" s="1378">
        <v>208</v>
      </c>
      <c r="AB54" s="1378">
        <v>-1896</v>
      </c>
      <c r="AC54" s="1532">
        <v>-1786</v>
      </c>
      <c r="AD54" s="1378">
        <v>-714</v>
      </c>
      <c r="AE54" s="1378">
        <v>265</v>
      </c>
      <c r="AF54" s="1378">
        <v>327</v>
      </c>
      <c r="AG54" s="1532">
        <v>-195</v>
      </c>
      <c r="AH54" s="1378">
        <v>1750</v>
      </c>
      <c r="AI54" s="1378">
        <v>-1404</v>
      </c>
      <c r="AJ54" s="1378" t="e">
        <v>#REF!</v>
      </c>
      <c r="AK54" s="1532" t="e">
        <v>#REF!</v>
      </c>
      <c r="AL54" s="1378" t="e">
        <v>#REF!</v>
      </c>
      <c r="AM54" s="1378" t="e">
        <v>#REF!</v>
      </c>
      <c r="AN54" s="1378" t="e">
        <v>#REF!</v>
      </c>
      <c r="AO54" s="1532" t="e">
        <v>#REF!</v>
      </c>
      <c r="AP54" s="1378" t="e">
        <v>#REF!</v>
      </c>
      <c r="AQ54" s="1378" t="e">
        <v>#REF!</v>
      </c>
      <c r="AR54" s="1378" t="e">
        <v>#REF!</v>
      </c>
      <c r="AS54" s="1378" t="e">
        <v>#REF!</v>
      </c>
      <c r="AT54" s="1381" t="e">
        <v>#REF!</v>
      </c>
      <c r="AU54" s="1301" t="e">
        <v>#REF!</v>
      </c>
      <c r="AV54" s="1301" t="e">
        <v>#REF!</v>
      </c>
      <c r="AW54" s="1301" t="e">
        <v>#REF!</v>
      </c>
      <c r="AX54" s="1297"/>
      <c r="AY54" s="1378">
        <v>-2837</v>
      </c>
      <c r="AZ54" s="1302">
        <v>5863</v>
      </c>
      <c r="BA54" s="1806">
        <v>-8700</v>
      </c>
      <c r="BB54" s="2041">
        <v>-1.4838819716868497</v>
      </c>
      <c r="BC54" s="1635"/>
      <c r="BD54" s="1381">
        <v>-2837</v>
      </c>
      <c r="BE54" s="1552">
        <v>5863</v>
      </c>
      <c r="BF54" s="1328">
        <v>1425</v>
      </c>
      <c r="BG54" s="1552">
        <v>-3162</v>
      </c>
      <c r="BH54" s="1552">
        <v>-5051</v>
      </c>
      <c r="BI54" s="1552">
        <v>-317</v>
      </c>
      <c r="BJ54" s="1552">
        <f>+BJ53-BJ34</f>
        <v>3441</v>
      </c>
      <c r="BK54" s="1552">
        <f>+BK53-BK34</f>
        <v>2569</v>
      </c>
      <c r="BL54" s="1788"/>
      <c r="BM54" s="1788"/>
      <c r="BN54" s="1627"/>
      <c r="BO54" s="1627"/>
      <c r="BP54" s="1627"/>
      <c r="BQ54" s="2040"/>
      <c r="BR54" s="2363"/>
      <c r="BS54" s="1954"/>
      <c r="BT54" s="1954"/>
      <c r="BU54" s="1954"/>
      <c r="BV54" s="1954"/>
    </row>
    <row r="55" spans="1:74" s="1955" customFormat="1" ht="9.75" customHeight="1" x14ac:dyDescent="0.2">
      <c r="A55" s="1635"/>
      <c r="B55" s="1624"/>
      <c r="C55" s="1643"/>
      <c r="D55" s="975"/>
      <c r="E55" s="1592"/>
      <c r="F55" s="1209"/>
      <c r="G55" s="1209"/>
      <c r="H55" s="1209"/>
      <c r="I55" s="1196"/>
      <c r="J55" s="1322"/>
      <c r="K55" s="1322"/>
      <c r="L55" s="1322"/>
      <c r="M55" s="1294"/>
      <c r="N55" s="1322"/>
      <c r="O55" s="1322"/>
      <c r="P55" s="1322"/>
      <c r="Q55" s="1294"/>
      <c r="R55" s="1785"/>
      <c r="S55" s="1785"/>
      <c r="T55" s="1322"/>
      <c r="U55" s="1294"/>
      <c r="V55" s="1322"/>
      <c r="W55" s="1322"/>
      <c r="X55" s="1785"/>
      <c r="Y55" s="1294"/>
      <c r="Z55" s="1322"/>
      <c r="AA55" s="1322"/>
      <c r="AB55" s="1322"/>
      <c r="AC55" s="1294"/>
      <c r="AD55" s="1322"/>
      <c r="AE55" s="1322"/>
      <c r="AF55" s="1322"/>
      <c r="AG55" s="1294"/>
      <c r="AH55" s="1322"/>
      <c r="AI55" s="1322"/>
      <c r="AJ55" s="1322"/>
      <c r="AK55" s="1294"/>
      <c r="AL55" s="1322"/>
      <c r="AM55" s="1322"/>
      <c r="AN55" s="1322"/>
      <c r="AO55" s="1294"/>
      <c r="AP55" s="1322"/>
      <c r="AQ55" s="1322"/>
      <c r="AR55" s="1322"/>
      <c r="AS55" s="1322"/>
      <c r="AT55" s="1322"/>
      <c r="AU55" s="1322"/>
      <c r="AV55" s="1322"/>
      <c r="AW55" s="1322"/>
      <c r="AX55" s="1294"/>
      <c r="AY55" s="1322"/>
      <c r="AZ55" s="1294"/>
      <c r="BA55" s="1797"/>
      <c r="BB55" s="2214"/>
      <c r="BC55" s="1635"/>
      <c r="BD55" s="1294"/>
      <c r="BE55" s="1294"/>
      <c r="BF55" s="1322"/>
      <c r="BG55" s="1294"/>
      <c r="BH55" s="1294"/>
      <c r="BI55" s="1294"/>
      <c r="BJ55" s="1294"/>
      <c r="BK55" s="1294"/>
      <c r="BL55" s="1788"/>
      <c r="BM55" s="1788"/>
      <c r="BN55" s="1627"/>
      <c r="BO55" s="1627"/>
      <c r="BP55" s="1627"/>
      <c r="BQ55" s="2215"/>
      <c r="BR55" s="2363"/>
      <c r="BS55" s="1954"/>
      <c r="BT55" s="1954"/>
      <c r="BU55" s="1954"/>
      <c r="BV55" s="1954"/>
    </row>
    <row r="56" spans="1:74" s="1955" customFormat="1" ht="12.75" customHeight="1" x14ac:dyDescent="0.2">
      <c r="A56" s="1635"/>
      <c r="B56" s="1630" t="s">
        <v>77</v>
      </c>
      <c r="C56" s="1629">
        <v>-8.3873341984304233</v>
      </c>
      <c r="D56" s="975"/>
      <c r="E56" s="1592"/>
      <c r="F56" s="1592" t="e">
        <v>#DIV/0!</v>
      </c>
      <c r="G56" s="1592" t="e">
        <v>#DIV/0!</v>
      </c>
      <c r="H56" s="1592" t="e">
        <v>#DIV/0!</v>
      </c>
      <c r="I56" s="1592">
        <v>0.29139557579700714</v>
      </c>
      <c r="J56" s="1644">
        <v>0.31823630136986303</v>
      </c>
      <c r="K56" s="1644">
        <v>0.48952590959206171</v>
      </c>
      <c r="L56" s="1644">
        <v>0.60331462175888795</v>
      </c>
      <c r="M56" s="1644">
        <v>0.37526891778131138</v>
      </c>
      <c r="N56" s="1644">
        <v>0.23795218425334835</v>
      </c>
      <c r="O56" s="1644">
        <v>0.52022967018293498</v>
      </c>
      <c r="P56" s="1644">
        <v>0.34403176441393002</v>
      </c>
      <c r="Q56" s="1644">
        <v>0.26619217081850532</v>
      </c>
      <c r="R56" s="1644">
        <v>0.50699147913480447</v>
      </c>
      <c r="S56" s="1644">
        <v>0.16294209702660406</v>
      </c>
      <c r="T56" s="1322"/>
      <c r="U56" s="1294"/>
      <c r="V56" s="1322"/>
      <c r="W56" s="1322"/>
      <c r="X56" s="1785"/>
      <c r="Y56" s="1294"/>
      <c r="Z56" s="1322"/>
      <c r="AA56" s="1322"/>
      <c r="AB56" s="1322"/>
      <c r="AC56" s="1294"/>
      <c r="AD56" s="1322"/>
      <c r="AE56" s="1322"/>
      <c r="AF56" s="1322"/>
      <c r="AG56" s="1294"/>
      <c r="AH56" s="1322"/>
      <c r="AI56" s="1322"/>
      <c r="AJ56" s="1322"/>
      <c r="AK56" s="1294"/>
      <c r="AL56" s="1322"/>
      <c r="AM56" s="1322"/>
      <c r="AN56" s="1322"/>
      <c r="AO56" s="1294"/>
      <c r="AP56" s="1322"/>
      <c r="AQ56" s="1322"/>
      <c r="AR56" s="1322"/>
      <c r="AS56" s="1322"/>
      <c r="AT56" s="1322"/>
      <c r="AU56" s="1322"/>
      <c r="AV56" s="1322"/>
      <c r="AW56" s="1322"/>
      <c r="AX56" s="1294"/>
      <c r="AY56" s="1644">
        <v>0.42716224747474746</v>
      </c>
      <c r="AZ56" s="1644">
        <v>0.31441761077289038</v>
      </c>
      <c r="BA56" s="1629">
        <v>11.274463670185709</v>
      </c>
      <c r="BB56" s="2214"/>
      <c r="BC56" s="1635"/>
      <c r="BD56" s="1644">
        <v>0.42716224747474746</v>
      </c>
      <c r="BE56" s="1644">
        <v>0.31441761077289038</v>
      </c>
      <c r="BF56" s="1644">
        <v>0.41152167134393514</v>
      </c>
      <c r="BG56" s="1644">
        <v>0.5060703128089532</v>
      </c>
      <c r="BH56" s="1644">
        <v>0.96435379336637439</v>
      </c>
      <c r="BI56" s="1644">
        <f>(BI52-BI19-BI20)/BI51</f>
        <v>1.1693811074918568</v>
      </c>
      <c r="BJ56" s="1294"/>
      <c r="BK56" s="1294"/>
      <c r="BL56" s="1788"/>
      <c r="BM56" s="1788"/>
      <c r="BN56" s="1627"/>
      <c r="BO56" s="1627"/>
      <c r="BP56" s="1627"/>
      <c r="BQ56" s="2215"/>
      <c r="BR56" s="2363"/>
      <c r="BS56" s="1954"/>
      <c r="BT56" s="1954"/>
      <c r="BU56" s="1954"/>
      <c r="BV56" s="1954"/>
    </row>
    <row r="57" spans="1:74" s="1955" customFormat="1" ht="15" customHeight="1" x14ac:dyDescent="0.2">
      <c r="A57" s="1635"/>
      <c r="B57" s="1630" t="s">
        <v>78</v>
      </c>
      <c r="C57" s="1629">
        <v>-13.869591086745203</v>
      </c>
      <c r="D57" s="975"/>
      <c r="E57" s="1592"/>
      <c r="F57" s="1592" t="e">
        <v>#DIV/0!</v>
      </c>
      <c r="G57" s="1592" t="e">
        <v>#DIV/0!</v>
      </c>
      <c r="H57" s="1592" t="e">
        <v>#DIV/0!</v>
      </c>
      <c r="I57" s="1592">
        <v>0.82791151594014312</v>
      </c>
      <c r="J57" s="1644">
        <v>0.99683219178082194</v>
      </c>
      <c r="K57" s="1644">
        <v>1.1367144432194047</v>
      </c>
      <c r="L57" s="1644">
        <v>1.2826784282277466</v>
      </c>
      <c r="M57" s="1644">
        <v>0.96660742680759515</v>
      </c>
      <c r="N57" s="1644">
        <v>0.77043434722743775</v>
      </c>
      <c r="O57" s="1644">
        <v>1.0747763386299907</v>
      </c>
      <c r="P57" s="1644">
        <v>0.91455041773513113</v>
      </c>
      <c r="Q57" s="1644">
        <v>0.87743772241992879</v>
      </c>
      <c r="R57" s="1644">
        <v>0.94876556696526104</v>
      </c>
      <c r="S57" s="1644">
        <v>0.71079812206572768</v>
      </c>
      <c r="T57" s="1322"/>
      <c r="U57" s="1294"/>
      <c r="V57" s="1322"/>
      <c r="W57" s="1322"/>
      <c r="X57" s="1785"/>
      <c r="Y57" s="1294"/>
      <c r="Z57" s="1322"/>
      <c r="AA57" s="1322"/>
      <c r="AB57" s="1322"/>
      <c r="AC57" s="1294"/>
      <c r="AD57" s="1322"/>
      <c r="AE57" s="1322"/>
      <c r="AF57" s="1322"/>
      <c r="AG57" s="1294"/>
      <c r="AH57" s="1322"/>
      <c r="AI57" s="1322"/>
      <c r="AJ57" s="1322"/>
      <c r="AK57" s="1294"/>
      <c r="AL57" s="1322"/>
      <c r="AM57" s="1322"/>
      <c r="AN57" s="1322"/>
      <c r="AO57" s="1294"/>
      <c r="AP57" s="1322"/>
      <c r="AQ57" s="1322"/>
      <c r="AR57" s="1322"/>
      <c r="AS57" s="1322"/>
      <c r="AT57" s="1322"/>
      <c r="AU57" s="1322"/>
      <c r="AV57" s="1322"/>
      <c r="AW57" s="1322"/>
      <c r="AX57" s="1294"/>
      <c r="AY57" s="1644">
        <v>1.074626473063973</v>
      </c>
      <c r="AZ57" s="1644">
        <v>0.88180865217917193</v>
      </c>
      <c r="BA57" s="1629">
        <v>19.281782088480103</v>
      </c>
      <c r="BB57" s="2214"/>
      <c r="BC57" s="1635"/>
      <c r="BD57" s="1644">
        <v>1.074626473063973</v>
      </c>
      <c r="BE57" s="1644">
        <v>0.88180865217917193</v>
      </c>
      <c r="BF57" s="1644">
        <v>0.95907390084190836</v>
      </c>
      <c r="BG57" s="1644">
        <v>1.1250444892632578</v>
      </c>
      <c r="BH57" s="1644">
        <v>1.4814144109797942</v>
      </c>
      <c r="BI57" s="1644">
        <f t="shared" ref="BI57" si="1">BI52/BI51</f>
        <v>1.25814332247557</v>
      </c>
      <c r="BJ57" s="1294"/>
      <c r="BK57" s="1294"/>
      <c r="BL57" s="1788"/>
      <c r="BM57" s="1788"/>
      <c r="BN57" s="1627"/>
      <c r="BO57" s="1627"/>
      <c r="BP57" s="1627"/>
      <c r="BQ57" s="2215"/>
      <c r="BR57" s="2363"/>
      <c r="BS57" s="1954"/>
      <c r="BT57" s="1954"/>
      <c r="BU57" s="1954"/>
      <c r="BV57" s="1954"/>
    </row>
    <row r="58" spans="1:74" s="1955" customFormat="1" ht="16.5" customHeight="1" x14ac:dyDescent="0.2">
      <c r="A58" s="1635"/>
      <c r="B58" s="1630" t="s">
        <v>178</v>
      </c>
      <c r="C58" s="1629">
        <v>13.869591086745203</v>
      </c>
      <c r="D58" s="975"/>
      <c r="E58" s="1592"/>
      <c r="F58" s="1592" t="e">
        <v>#DIV/0!</v>
      </c>
      <c r="G58" s="1592" t="e">
        <v>#DIV/0!</v>
      </c>
      <c r="H58" s="1592" t="e">
        <v>#DIV/0!</v>
      </c>
      <c r="I58" s="1592">
        <v>0.17208848405985686</v>
      </c>
      <c r="J58" s="1644">
        <v>3.1678082191780822E-3</v>
      </c>
      <c r="K58" s="1644">
        <v>-0.13671444321940462</v>
      </c>
      <c r="L58" s="1644">
        <v>-0.28267842822774658</v>
      </c>
      <c r="M58" s="1644">
        <v>3.3392573192404823E-2</v>
      </c>
      <c r="N58" s="1644">
        <v>0.22956565277256227</v>
      </c>
      <c r="O58" s="1644">
        <v>-7.4776338629990655E-2</v>
      </c>
      <c r="P58" s="1644">
        <v>8.5449582264868887E-2</v>
      </c>
      <c r="Q58" s="1644">
        <v>0.12256227758007117</v>
      </c>
      <c r="R58" s="1644">
        <v>5.1234433034738909E-2</v>
      </c>
      <c r="S58" s="1644">
        <v>0.28920187793427232</v>
      </c>
      <c r="T58" s="1322"/>
      <c r="U58" s="1294"/>
      <c r="V58" s="1322"/>
      <c r="W58" s="1322"/>
      <c r="X58" s="1785"/>
      <c r="Y58" s="1294"/>
      <c r="Z58" s="1322"/>
      <c r="AA58" s="1322"/>
      <c r="AB58" s="1322"/>
      <c r="AC58" s="1294"/>
      <c r="AD58" s="1322"/>
      <c r="AE58" s="1322"/>
      <c r="AF58" s="1322"/>
      <c r="AG58" s="1294"/>
      <c r="AH58" s="1322"/>
      <c r="AI58" s="1322"/>
      <c r="AJ58" s="1322"/>
      <c r="AK58" s="1294"/>
      <c r="AL58" s="1322"/>
      <c r="AM58" s="1322"/>
      <c r="AN58" s="1322"/>
      <c r="AO58" s="1294"/>
      <c r="AP58" s="1322"/>
      <c r="AQ58" s="1322"/>
      <c r="AR58" s="1322"/>
      <c r="AS58" s="1322"/>
      <c r="AT58" s="1322"/>
      <c r="AU58" s="1322"/>
      <c r="AV58" s="1322"/>
      <c r="AW58" s="1322"/>
      <c r="AX58" s="1294"/>
      <c r="AY58" s="1644">
        <v>-7.4626473063973062E-2</v>
      </c>
      <c r="AZ58" s="1644">
        <v>0.11819134782082813</v>
      </c>
      <c r="BA58" s="1629">
        <v>-19.281782088480121</v>
      </c>
      <c r="BB58" s="2214"/>
      <c r="BC58" s="1635"/>
      <c r="BD58" s="1644">
        <v>-7.4626473063973062E-2</v>
      </c>
      <c r="BE58" s="1644">
        <v>0.11819134782082813</v>
      </c>
      <c r="BF58" s="1644">
        <v>4.0926099158091672E-2</v>
      </c>
      <c r="BG58" s="1644">
        <v>-0.12504448926325781</v>
      </c>
      <c r="BH58" s="1644">
        <v>-0.48141441097979415</v>
      </c>
      <c r="BI58" s="1644">
        <f t="shared" ref="BI58" si="2">BI53/BI51</f>
        <v>-0.25814332247557004</v>
      </c>
      <c r="BJ58" s="1294"/>
      <c r="BK58" s="1294"/>
      <c r="BL58" s="1788"/>
      <c r="BM58" s="1788"/>
      <c r="BN58" s="1627"/>
      <c r="BO58" s="1627"/>
      <c r="BP58" s="1627"/>
      <c r="BQ58" s="2215"/>
      <c r="BR58" s="2363"/>
      <c r="BS58" s="1954"/>
      <c r="BT58" s="1954"/>
      <c r="BU58" s="1954"/>
      <c r="BV58" s="1954"/>
    </row>
    <row r="59" spans="1:74" s="2005" customFormat="1" ht="12.75" customHeight="1" x14ac:dyDescent="0.2">
      <c r="A59" s="1235"/>
      <c r="B59" s="1251"/>
      <c r="C59" s="1026"/>
      <c r="D59" s="981"/>
      <c r="E59" s="945"/>
      <c r="F59" s="1206"/>
      <c r="G59" s="1206"/>
      <c r="H59" s="1206"/>
      <c r="I59" s="1191"/>
      <c r="J59" s="1310"/>
      <c r="K59" s="1310"/>
      <c r="L59" s="1310"/>
      <c r="M59" s="1280"/>
      <c r="N59" s="1310"/>
      <c r="O59" s="1310"/>
      <c r="P59" s="1310"/>
      <c r="Q59" s="1280"/>
      <c r="R59" s="1310"/>
      <c r="S59" s="1310"/>
      <c r="T59" s="1310"/>
      <c r="U59" s="1280"/>
      <c r="V59" s="1310"/>
      <c r="W59" s="1310"/>
      <c r="X59" s="1310"/>
      <c r="Y59" s="1280"/>
      <c r="Z59" s="1310"/>
      <c r="AA59" s="1310"/>
      <c r="AB59" s="1310"/>
      <c r="AC59" s="1280"/>
      <c r="AD59" s="1310"/>
      <c r="AE59" s="1310"/>
      <c r="AF59" s="1310"/>
      <c r="AG59" s="1280"/>
      <c r="AH59" s="1310"/>
      <c r="AI59" s="1310"/>
      <c r="AJ59" s="1310"/>
      <c r="AK59" s="1280"/>
      <c r="AL59" s="1310"/>
      <c r="AM59" s="1310"/>
      <c r="AN59" s="1310"/>
      <c r="AO59" s="1280"/>
      <c r="AP59" s="1478"/>
      <c r="AQ59" s="1478"/>
      <c r="AR59" s="1478"/>
      <c r="AS59" s="1478"/>
      <c r="AT59" s="1478"/>
      <c r="AU59" s="1478"/>
      <c r="AV59" s="1478"/>
      <c r="AW59" s="1478"/>
      <c r="AX59" s="1251"/>
      <c r="AY59" s="1251"/>
      <c r="AZ59" s="1251"/>
      <c r="BA59" s="2042"/>
      <c r="BB59" s="2043"/>
      <c r="BC59" s="1235"/>
      <c r="BD59" s="2044"/>
      <c r="BE59" s="2044"/>
      <c r="BF59" s="2044"/>
      <c r="BG59" s="2044"/>
      <c r="BH59" s="2044"/>
      <c r="BI59" s="2044"/>
      <c r="BJ59" s="1280"/>
      <c r="BK59" s="1280"/>
      <c r="BL59" s="1478"/>
      <c r="BM59" s="1478"/>
      <c r="BN59" s="1025"/>
      <c r="BO59" s="1025"/>
      <c r="BP59" s="1025"/>
      <c r="BQ59" s="2045"/>
      <c r="BR59" s="2045"/>
      <c r="BS59" s="2004"/>
      <c r="BV59" s="2004"/>
    </row>
    <row r="60" spans="1:74" ht="15.75" customHeight="1" x14ac:dyDescent="0.2">
      <c r="A60" s="1428" t="s">
        <v>190</v>
      </c>
      <c r="B60" s="1246"/>
      <c r="C60" s="1251"/>
      <c r="D60" s="1251"/>
      <c r="E60" s="1188"/>
      <c r="F60" s="1188"/>
      <c r="G60" s="1188"/>
      <c r="H60" s="1188"/>
      <c r="I60" s="1188"/>
      <c r="J60" s="1251"/>
      <c r="K60" s="1251"/>
      <c r="L60" s="1251"/>
      <c r="M60" s="1251"/>
      <c r="N60" s="1251"/>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525"/>
      <c r="AM60" s="1251"/>
      <c r="AN60" s="1251"/>
      <c r="AO60" s="1251"/>
      <c r="AP60" s="1251"/>
      <c r="AQ60" s="1251"/>
      <c r="AR60" s="1251"/>
      <c r="AS60" s="969"/>
      <c r="AT60" s="1251"/>
      <c r="AU60" s="969"/>
      <c r="AV60" s="969"/>
      <c r="AW60" s="1251"/>
      <c r="AX60" s="1251"/>
      <c r="AY60" s="1251"/>
      <c r="AZ60" s="1251"/>
      <c r="BA60" s="2015"/>
      <c r="BB60" s="2015"/>
      <c r="BC60" s="1251"/>
      <c r="BD60" s="2015"/>
      <c r="BE60" s="2015"/>
      <c r="BF60" s="2015"/>
      <c r="BG60" s="2015"/>
      <c r="BH60" s="2015"/>
      <c r="BI60" s="2015"/>
      <c r="BJ60" s="1251"/>
      <c r="BK60" s="1251"/>
      <c r="BL60" s="1251"/>
      <c r="BM60" s="1251"/>
      <c r="BN60" s="1025"/>
      <c r="BO60" s="1025"/>
      <c r="BP60" s="1025"/>
      <c r="BQ60" s="1226"/>
      <c r="BR60" s="1226"/>
      <c r="BS60" s="1181"/>
      <c r="BV60" s="1181"/>
    </row>
    <row r="61" spans="1:74" ht="12.75" customHeight="1" x14ac:dyDescent="0.2">
      <c r="C61" s="2455" t="s">
        <v>456</v>
      </c>
      <c r="D61" s="2456"/>
      <c r="E61" s="919"/>
      <c r="F61" s="921"/>
      <c r="G61" s="921"/>
      <c r="H61" s="1878"/>
      <c r="I61" s="2348"/>
      <c r="J61" s="1000"/>
      <c r="K61" s="1000"/>
      <c r="L61" s="1888"/>
      <c r="M61" s="1889"/>
      <c r="N61" s="1000"/>
      <c r="O61" s="1000"/>
      <c r="P61" s="1888"/>
      <c r="Q61" s="1889"/>
      <c r="R61" s="1000"/>
      <c r="S61" s="1000"/>
      <c r="T61" s="1888"/>
      <c r="U61" s="1889"/>
      <c r="V61" s="1888"/>
      <c r="W61" s="1888"/>
      <c r="X61" s="1888"/>
      <c r="Y61" s="1889"/>
      <c r="Z61" s="1888"/>
      <c r="AA61" s="1888"/>
      <c r="AB61" s="1888"/>
      <c r="AC61" s="1888"/>
      <c r="AD61" s="1782"/>
      <c r="AE61" s="1888"/>
      <c r="AF61" s="1888"/>
      <c r="AG61" s="1888"/>
      <c r="AH61" s="1782"/>
      <c r="AI61" s="1888"/>
      <c r="AJ61" s="1888"/>
      <c r="AK61" s="1888"/>
      <c r="AL61" s="1782"/>
      <c r="AM61" s="1888"/>
      <c r="AN61" s="1889"/>
      <c r="AO61" s="1889"/>
      <c r="AP61" s="1889"/>
      <c r="AQ61" s="1633"/>
      <c r="AR61" s="1633"/>
      <c r="AS61" s="1608"/>
      <c r="AT61" s="1633"/>
      <c r="AU61" s="1608"/>
      <c r="AV61" s="1608"/>
      <c r="AW61" s="1633"/>
      <c r="AX61" s="1687"/>
      <c r="AY61" s="1006" t="s">
        <v>448</v>
      </c>
      <c r="AZ61" s="1006"/>
      <c r="BA61" s="1006" t="s">
        <v>441</v>
      </c>
      <c r="BB61" s="1007"/>
      <c r="BC61" s="1251"/>
      <c r="BD61" s="2273"/>
      <c r="BE61" s="2273"/>
      <c r="BF61" s="2273"/>
      <c r="BG61" s="2273"/>
      <c r="BH61" s="2273"/>
      <c r="BI61" s="2273"/>
      <c r="BJ61" s="1009"/>
      <c r="BK61" s="1009"/>
      <c r="BL61" s="1527"/>
      <c r="BM61" s="1527"/>
      <c r="BN61" s="1009"/>
      <c r="BO61" s="1025"/>
      <c r="BP61" s="1025"/>
      <c r="BQ61" s="1266"/>
      <c r="BR61" s="1226"/>
      <c r="BS61" s="1181"/>
      <c r="BV61" s="1181"/>
    </row>
    <row r="62" spans="1:74" ht="12.75" customHeight="1" x14ac:dyDescent="0.2">
      <c r="C62" s="2457" t="s">
        <v>39</v>
      </c>
      <c r="D62" s="2458"/>
      <c r="E62" s="924"/>
      <c r="F62" s="925" t="s">
        <v>452</v>
      </c>
      <c r="G62" s="925" t="s">
        <v>453</v>
      </c>
      <c r="H62" s="925" t="s">
        <v>454</v>
      </c>
      <c r="I62" s="2281" t="s">
        <v>455</v>
      </c>
      <c r="J62" s="1010" t="s">
        <v>399</v>
      </c>
      <c r="K62" s="1010" t="s">
        <v>398</v>
      </c>
      <c r="L62" s="1010" t="s">
        <v>397</v>
      </c>
      <c r="M62" s="1011" t="s">
        <v>395</v>
      </c>
      <c r="N62" s="1010" t="s">
        <v>373</v>
      </c>
      <c r="O62" s="1010" t="s">
        <v>374</v>
      </c>
      <c r="P62" s="1010" t="s">
        <v>375</v>
      </c>
      <c r="Q62" s="1011" t="s">
        <v>376</v>
      </c>
      <c r="R62" s="1010" t="s">
        <v>330</v>
      </c>
      <c r="S62" s="1667" t="s">
        <v>329</v>
      </c>
      <c r="T62" s="1667" t="s">
        <v>328</v>
      </c>
      <c r="U62" s="1668" t="s">
        <v>326</v>
      </c>
      <c r="V62" s="1667" t="s">
        <v>282</v>
      </c>
      <c r="W62" s="1667" t="s">
        <v>283</v>
      </c>
      <c r="X62" s="1667" t="s">
        <v>284</v>
      </c>
      <c r="Y62" s="1668" t="s">
        <v>285</v>
      </c>
      <c r="Z62" s="1667" t="s">
        <v>220</v>
      </c>
      <c r="AA62" s="1667" t="s">
        <v>221</v>
      </c>
      <c r="AB62" s="1667" t="s">
        <v>222</v>
      </c>
      <c r="AC62" s="1668" t="s">
        <v>219</v>
      </c>
      <c r="AD62" s="1669" t="s">
        <v>185</v>
      </c>
      <c r="AE62" s="1667" t="s">
        <v>186</v>
      </c>
      <c r="AF62" s="1667" t="s">
        <v>187</v>
      </c>
      <c r="AG62" s="1667" t="e">
        <v>#REF!</v>
      </c>
      <c r="AH62" s="1669" t="s">
        <v>118</v>
      </c>
      <c r="AI62" s="1667" t="s">
        <v>117</v>
      </c>
      <c r="AJ62" s="1667" t="s">
        <v>116</v>
      </c>
      <c r="AK62" s="1667" t="s">
        <v>115</v>
      </c>
      <c r="AL62" s="1669" t="s">
        <v>83</v>
      </c>
      <c r="AM62" s="1667" t="s">
        <v>84</v>
      </c>
      <c r="AN62" s="1668" t="s">
        <v>85</v>
      </c>
      <c r="AO62" s="1668" t="s">
        <v>30</v>
      </c>
      <c r="AP62" s="1668" t="s">
        <v>30</v>
      </c>
      <c r="AQ62" s="1633"/>
      <c r="AR62" s="1633"/>
      <c r="AS62" s="1608"/>
      <c r="AT62" s="1633"/>
      <c r="AU62" s="1608"/>
      <c r="AV62" s="1608"/>
      <c r="AW62" s="1633"/>
      <c r="AX62" s="1687"/>
      <c r="AY62" s="1010" t="s">
        <v>399</v>
      </c>
      <c r="AZ62" s="1010" t="s">
        <v>373</v>
      </c>
      <c r="BA62" s="2485" t="s">
        <v>39</v>
      </c>
      <c r="BB62" s="2458"/>
      <c r="BC62" s="1251"/>
      <c r="BD62" s="1012" t="s">
        <v>438</v>
      </c>
      <c r="BE62" s="1012" t="s">
        <v>385</v>
      </c>
      <c r="BF62" s="1012" t="s">
        <v>332</v>
      </c>
      <c r="BG62" s="2014" t="s">
        <v>287</v>
      </c>
      <c r="BH62" s="2014" t="s">
        <v>224</v>
      </c>
      <c r="BI62" s="2014" t="s">
        <v>120</v>
      </c>
      <c r="BJ62" s="1013" t="s">
        <v>119</v>
      </c>
      <c r="BK62" s="1013" t="s">
        <v>43</v>
      </c>
      <c r="BL62" s="1013" t="s">
        <v>40</v>
      </c>
      <c r="BM62" s="1013" t="s">
        <v>41</v>
      </c>
      <c r="BN62" s="1013" t="s">
        <v>138</v>
      </c>
      <c r="BO62" s="1025"/>
      <c r="BP62" s="1025"/>
      <c r="BQ62" s="1266"/>
      <c r="BR62" s="1226"/>
      <c r="BS62" s="1181"/>
      <c r="BV62" s="1181"/>
    </row>
    <row r="63" spans="1:74" ht="12.75" customHeight="1" x14ac:dyDescent="0.2">
      <c r="A63" s="1235"/>
      <c r="B63" s="969" t="s">
        <v>413</v>
      </c>
      <c r="C63" s="1252">
        <v>147</v>
      </c>
      <c r="D63" s="1056">
        <v>4.942837928715535E-2</v>
      </c>
      <c r="E63" s="1187"/>
      <c r="F63" s="2003"/>
      <c r="G63" s="2003"/>
      <c r="H63" s="2003"/>
      <c r="I63" s="2362">
        <v>3121</v>
      </c>
      <c r="J63" s="2035">
        <v>2858</v>
      </c>
      <c r="K63" s="2035">
        <v>2864</v>
      </c>
      <c r="L63" s="2035">
        <v>3109</v>
      </c>
      <c r="M63" s="2046">
        <v>2974</v>
      </c>
      <c r="N63" s="2035">
        <v>2849</v>
      </c>
      <c r="O63" s="2035">
        <v>2979</v>
      </c>
      <c r="P63" s="2035">
        <v>3247</v>
      </c>
      <c r="Q63" s="2046">
        <v>2647</v>
      </c>
      <c r="R63" s="2035">
        <v>2622</v>
      </c>
      <c r="S63" s="2035">
        <v>2475</v>
      </c>
      <c r="T63" s="2035">
        <v>1713</v>
      </c>
      <c r="U63" s="2046">
        <v>1641</v>
      </c>
      <c r="V63" s="2035">
        <v>1913</v>
      </c>
      <c r="W63" s="2035">
        <v>1697</v>
      </c>
      <c r="X63" s="2035">
        <v>2571</v>
      </c>
      <c r="Y63" s="2046">
        <v>1326</v>
      </c>
      <c r="Z63" s="2047">
        <v>892</v>
      </c>
      <c r="AA63" s="2035">
        <v>391</v>
      </c>
      <c r="AB63" s="2035">
        <v>0</v>
      </c>
      <c r="AC63" s="2046">
        <v>0</v>
      </c>
      <c r="AD63" s="2047">
        <v>0</v>
      </c>
      <c r="AE63" s="2035">
        <v>0</v>
      </c>
      <c r="AF63" s="2035">
        <v>0</v>
      </c>
      <c r="AG63" s="2046">
        <v>0</v>
      </c>
      <c r="AH63" s="1028">
        <v>0</v>
      </c>
      <c r="AI63" s="1028">
        <v>0</v>
      </c>
      <c r="AJ63" s="1028" t="e">
        <v>#REF!</v>
      </c>
      <c r="AK63" s="1028" t="e">
        <v>#REF!</v>
      </c>
      <c r="AL63" s="1028" t="e">
        <v>#REF!</v>
      </c>
      <c r="AM63" s="1028" t="e">
        <v>#REF!</v>
      </c>
      <c r="AN63" s="1059" t="e">
        <v>#REF!</v>
      </c>
      <c r="AO63" s="1059" t="e">
        <v>#REF!</v>
      </c>
      <c r="AP63" s="1528" t="e">
        <v>#REF!</v>
      </c>
      <c r="AQ63" s="1251" t="e">
        <v>#REF!</v>
      </c>
      <c r="AR63" s="1251" t="e">
        <v>#REF!</v>
      </c>
      <c r="AS63" s="969" t="e">
        <v>#REF!</v>
      </c>
      <c r="AT63" s="1251" t="e">
        <v>#REF!</v>
      </c>
      <c r="AU63" s="969" t="e">
        <v>#REF!</v>
      </c>
      <c r="AV63" s="969" t="e">
        <v>#REF!</v>
      </c>
      <c r="AW63" s="1251" t="e">
        <v>#REF!</v>
      </c>
      <c r="AX63" s="1274"/>
      <c r="AY63" s="2018">
        <v>11805</v>
      </c>
      <c r="AZ63" s="2018">
        <v>11722</v>
      </c>
      <c r="BA63" s="2035">
        <v>83</v>
      </c>
      <c r="BB63" s="1056">
        <v>7.0807029517147247E-3</v>
      </c>
      <c r="BC63" s="1251"/>
      <c r="BD63" s="1447">
        <v>11805</v>
      </c>
      <c r="BE63" s="1934">
        <v>11722</v>
      </c>
      <c r="BF63" s="1934">
        <v>8451</v>
      </c>
      <c r="BG63" s="1934">
        <v>7507</v>
      </c>
      <c r="BH63" s="1934">
        <v>1283</v>
      </c>
      <c r="BI63" s="1934">
        <v>0</v>
      </c>
      <c r="BJ63" s="1054">
        <v>0</v>
      </c>
      <c r="BK63" s="1054">
        <v>1</v>
      </c>
      <c r="BL63" s="1054">
        <v>0</v>
      </c>
      <c r="BM63" s="1054">
        <v>0</v>
      </c>
      <c r="BN63" s="1054">
        <v>14929</v>
      </c>
      <c r="BO63" s="1025"/>
      <c r="BP63" s="1025"/>
      <c r="BQ63" s="1266"/>
      <c r="BR63" s="1226"/>
      <c r="BS63" s="1181"/>
      <c r="BV63" s="1181"/>
    </row>
    <row r="64" spans="1:74" ht="12.75" customHeight="1" x14ac:dyDescent="0.2">
      <c r="A64" s="1235"/>
      <c r="B64" s="969" t="s">
        <v>62</v>
      </c>
      <c r="C64" s="1252">
        <v>1531</v>
      </c>
      <c r="D64" s="1056">
        <v>0.22998347604025837</v>
      </c>
      <c r="E64" s="1187"/>
      <c r="F64" s="933"/>
      <c r="G64" s="933"/>
      <c r="H64" s="933"/>
      <c r="I64" s="2352">
        <v>8188</v>
      </c>
      <c r="J64" s="1028">
        <v>7060</v>
      </c>
      <c r="K64" s="1028">
        <v>4356</v>
      </c>
      <c r="L64" s="1028">
        <v>3151</v>
      </c>
      <c r="M64" s="1059">
        <v>6657</v>
      </c>
      <c r="N64" s="1028">
        <v>11076</v>
      </c>
      <c r="O64" s="1028">
        <v>3720</v>
      </c>
      <c r="P64" s="1028">
        <v>6483</v>
      </c>
      <c r="Q64" s="1059">
        <v>9869</v>
      </c>
      <c r="R64" s="1028">
        <v>5123</v>
      </c>
      <c r="S64" s="1028">
        <v>10790</v>
      </c>
      <c r="T64" s="1028">
        <v>5429</v>
      </c>
      <c r="U64" s="1059">
        <v>2097</v>
      </c>
      <c r="V64" s="1028">
        <v>3397</v>
      </c>
      <c r="W64" s="1028">
        <v>4159</v>
      </c>
      <c r="X64" s="1028">
        <v>2923</v>
      </c>
      <c r="Y64" s="1059">
        <v>3051</v>
      </c>
      <c r="Z64" s="1921">
        <v>1625</v>
      </c>
      <c r="AA64" s="1028">
        <v>758</v>
      </c>
      <c r="AB64" s="1028">
        <v>181</v>
      </c>
      <c r="AC64" s="1059">
        <v>21</v>
      </c>
      <c r="AD64" s="1921">
        <v>0</v>
      </c>
      <c r="AE64" s="1028">
        <v>0</v>
      </c>
      <c r="AF64" s="1028">
        <v>0</v>
      </c>
      <c r="AG64" s="1059">
        <v>0</v>
      </c>
      <c r="AH64" s="1028">
        <v>3508</v>
      </c>
      <c r="AI64" s="1028">
        <v>316</v>
      </c>
      <c r="AJ64" s="1028" t="e">
        <v>#REF!</v>
      </c>
      <c r="AK64" s="1028" t="e">
        <v>#REF!</v>
      </c>
      <c r="AL64" s="1028" t="e">
        <v>#REF!</v>
      </c>
      <c r="AM64" s="1028" t="e">
        <v>#REF!</v>
      </c>
      <c r="AN64" s="1059" t="e">
        <v>#REF!</v>
      </c>
      <c r="AO64" s="1059" t="e">
        <v>#REF!</v>
      </c>
      <c r="AP64" s="1528" t="e">
        <v>#REF!</v>
      </c>
      <c r="AQ64" s="1251" t="e">
        <v>#REF!</v>
      </c>
      <c r="AR64" s="1251" t="e">
        <v>#REF!</v>
      </c>
      <c r="AS64" s="969" t="e">
        <v>#REF!</v>
      </c>
      <c r="AT64" s="1251" t="e">
        <v>#REF!</v>
      </c>
      <c r="AU64" s="969" t="e">
        <v>#REF!</v>
      </c>
      <c r="AV64" s="969" t="e">
        <v>#REF!</v>
      </c>
      <c r="AW64" s="1251" t="e">
        <v>#REF!</v>
      </c>
      <c r="AX64" s="1274"/>
      <c r="AY64" s="2018">
        <v>21224</v>
      </c>
      <c r="AZ64" s="2018">
        <v>31148</v>
      </c>
      <c r="BA64" s="1822">
        <v>-9924</v>
      </c>
      <c r="BB64" s="1056">
        <v>-0.31860793630409656</v>
      </c>
      <c r="BC64" s="1251"/>
      <c r="BD64" s="1447">
        <v>21224</v>
      </c>
      <c r="BE64" s="1935">
        <v>31148</v>
      </c>
      <c r="BF64" s="1935">
        <v>23439</v>
      </c>
      <c r="BG64" s="1935">
        <v>13530</v>
      </c>
      <c r="BH64" s="1935">
        <v>2585</v>
      </c>
      <c r="BI64" s="1935">
        <v>0</v>
      </c>
      <c r="BJ64" s="1054">
        <v>4655</v>
      </c>
      <c r="BK64" s="1054">
        <v>7406</v>
      </c>
      <c r="BL64" s="1054">
        <v>10110</v>
      </c>
      <c r="BM64" s="1054">
        <v>6729</v>
      </c>
      <c r="BN64" s="1054">
        <f>91128-3937</f>
        <v>87191</v>
      </c>
      <c r="BO64" s="1025"/>
      <c r="BP64" s="1025"/>
      <c r="BQ64" s="1266"/>
      <c r="BR64" s="1226"/>
      <c r="BS64" s="1181"/>
      <c r="BV64" s="1181"/>
    </row>
    <row r="65" spans="1:74" ht="12.75" customHeight="1" x14ac:dyDescent="0.2">
      <c r="A65" s="1235"/>
      <c r="B65" s="969" t="s">
        <v>203</v>
      </c>
      <c r="C65" s="1252">
        <v>-31</v>
      </c>
      <c r="D65" s="1056">
        <v>-3.2769556025369982E-2</v>
      </c>
      <c r="E65" s="1187"/>
      <c r="F65" s="933"/>
      <c r="G65" s="933"/>
      <c r="H65" s="933"/>
      <c r="I65" s="2352">
        <v>915</v>
      </c>
      <c r="J65" s="1028">
        <v>1701</v>
      </c>
      <c r="K65" s="1028">
        <v>750</v>
      </c>
      <c r="L65" s="1028">
        <v>1277</v>
      </c>
      <c r="M65" s="1059">
        <v>946</v>
      </c>
      <c r="N65" s="1028">
        <v>1671</v>
      </c>
      <c r="O65" s="1028">
        <v>1537</v>
      </c>
      <c r="P65" s="1028">
        <v>1721</v>
      </c>
      <c r="Q65" s="1059">
        <v>935</v>
      </c>
      <c r="R65" s="1028">
        <v>805</v>
      </c>
      <c r="S65" s="1028">
        <v>1759</v>
      </c>
      <c r="T65" s="1028">
        <v>712</v>
      </c>
      <c r="U65" s="1059">
        <v>638</v>
      </c>
      <c r="V65" s="1028">
        <v>707</v>
      </c>
      <c r="W65" s="1028">
        <v>1133</v>
      </c>
      <c r="X65" s="1028">
        <v>455</v>
      </c>
      <c r="Y65" s="1059">
        <v>1053</v>
      </c>
      <c r="Z65" s="1921">
        <v>1020</v>
      </c>
      <c r="AA65" s="1028">
        <v>5528</v>
      </c>
      <c r="AB65" s="1028">
        <v>22</v>
      </c>
      <c r="AC65" s="1059">
        <v>337</v>
      </c>
      <c r="AD65" s="1921">
        <v>191</v>
      </c>
      <c r="AE65" s="1028">
        <v>0</v>
      </c>
      <c r="AF65" s="1028">
        <v>0</v>
      </c>
      <c r="AG65" s="1059">
        <v>0</v>
      </c>
      <c r="AH65" s="1028">
        <v>0</v>
      </c>
      <c r="AI65" s="1028">
        <v>0</v>
      </c>
      <c r="AJ65" s="1028" t="e">
        <v>#REF!</v>
      </c>
      <c r="AK65" s="1028" t="e">
        <v>#REF!</v>
      </c>
      <c r="AL65" s="1028" t="e">
        <v>#REF!</v>
      </c>
      <c r="AM65" s="1028" t="e">
        <v>#REF!</v>
      </c>
      <c r="AN65" s="1059" t="e">
        <v>#REF!</v>
      </c>
      <c r="AO65" s="1059" t="e">
        <v>#REF!</v>
      </c>
      <c r="AP65" s="1528" t="e">
        <v>#REF!</v>
      </c>
      <c r="AQ65" s="1251" t="e">
        <v>#REF!</v>
      </c>
      <c r="AR65" s="1251" t="e">
        <v>#REF!</v>
      </c>
      <c r="AS65" s="969" t="e">
        <v>#REF!</v>
      </c>
      <c r="AT65" s="1251" t="e">
        <v>#REF!</v>
      </c>
      <c r="AU65" s="969" t="e">
        <v>#REF!</v>
      </c>
      <c r="AV65" s="969" t="e">
        <v>#REF!</v>
      </c>
      <c r="AW65" s="1251" t="e">
        <v>#REF!</v>
      </c>
      <c r="AX65" s="1274"/>
      <c r="AY65" s="2018">
        <v>4674</v>
      </c>
      <c r="AZ65" s="2018">
        <v>5864</v>
      </c>
      <c r="BA65" s="1822">
        <v>-1190</v>
      </c>
      <c r="BB65" s="1056">
        <v>-0.20293315143246932</v>
      </c>
      <c r="BC65" s="1251"/>
      <c r="BD65" s="1447">
        <v>4674</v>
      </c>
      <c r="BE65" s="1935">
        <v>5864</v>
      </c>
      <c r="BF65" s="1935">
        <v>3914</v>
      </c>
      <c r="BG65" s="1935">
        <v>3348</v>
      </c>
      <c r="BH65" s="1935">
        <v>6907</v>
      </c>
      <c r="BI65" s="1935">
        <v>191</v>
      </c>
      <c r="BJ65" s="1054">
        <v>-724</v>
      </c>
      <c r="BK65" s="1054">
        <v>0</v>
      </c>
      <c r="BL65" s="1054">
        <v>0</v>
      </c>
      <c r="BM65" s="1054">
        <v>0</v>
      </c>
      <c r="BN65" s="1054">
        <v>3937</v>
      </c>
      <c r="BO65" s="1025"/>
      <c r="BP65" s="1025"/>
      <c r="BQ65" s="1266"/>
      <c r="BR65" s="1226"/>
      <c r="BS65" s="1181"/>
      <c r="BV65" s="1181"/>
    </row>
    <row r="66" spans="1:74" ht="12.75" customHeight="1" x14ac:dyDescent="0.2">
      <c r="A66" s="1235"/>
      <c r="B66" s="969" t="s">
        <v>63</v>
      </c>
      <c r="C66" s="1252">
        <v>-5</v>
      </c>
      <c r="D66" s="1056">
        <v>-1</v>
      </c>
      <c r="E66" s="1187"/>
      <c r="F66" s="933"/>
      <c r="G66" s="933"/>
      <c r="H66" s="933"/>
      <c r="I66" s="2352">
        <v>0</v>
      </c>
      <c r="J66" s="1028">
        <v>0</v>
      </c>
      <c r="K66" s="1028">
        <v>0</v>
      </c>
      <c r="L66" s="1028">
        <v>-5</v>
      </c>
      <c r="M66" s="1059">
        <v>5</v>
      </c>
      <c r="N66" s="1028">
        <v>5</v>
      </c>
      <c r="O66" s="1028">
        <v>3</v>
      </c>
      <c r="P66" s="1028">
        <v>1</v>
      </c>
      <c r="Q66" s="1059">
        <v>4</v>
      </c>
      <c r="R66" s="1028">
        <v>0</v>
      </c>
      <c r="S66" s="1028">
        <v>0</v>
      </c>
      <c r="T66" s="1028">
        <v>0</v>
      </c>
      <c r="U66" s="1059">
        <v>-10</v>
      </c>
      <c r="V66" s="1028">
        <v>8</v>
      </c>
      <c r="W66" s="1028">
        <v>-11</v>
      </c>
      <c r="X66" s="1028">
        <v>11</v>
      </c>
      <c r="Y66" s="1059">
        <v>-247</v>
      </c>
      <c r="Z66" s="1921">
        <v>-103</v>
      </c>
      <c r="AA66" s="1028">
        <v>-135</v>
      </c>
      <c r="AB66" s="1028">
        <v>-682</v>
      </c>
      <c r="AC66" s="1059">
        <v>-172</v>
      </c>
      <c r="AD66" s="1921">
        <v>316</v>
      </c>
      <c r="AE66" s="1028">
        <v>377</v>
      </c>
      <c r="AF66" s="1028">
        <v>310</v>
      </c>
      <c r="AG66" s="1059">
        <v>-204</v>
      </c>
      <c r="AH66" s="1028">
        <v>-45</v>
      </c>
      <c r="AI66" s="1028">
        <v>1</v>
      </c>
      <c r="AJ66" s="1028" t="e">
        <v>#REF!</v>
      </c>
      <c r="AK66" s="1028" t="e">
        <v>#REF!</v>
      </c>
      <c r="AL66" s="1028" t="e">
        <v>#REF!</v>
      </c>
      <c r="AM66" s="1028" t="e">
        <v>#REF!</v>
      </c>
      <c r="AN66" s="1059" t="e">
        <v>#REF!</v>
      </c>
      <c r="AO66" s="1059" t="e">
        <v>#REF!</v>
      </c>
      <c r="AP66" s="1528" t="e">
        <v>#REF!</v>
      </c>
      <c r="AQ66" s="1251" t="e">
        <v>#REF!</v>
      </c>
      <c r="AR66" s="1251" t="e">
        <v>#REF!</v>
      </c>
      <c r="AS66" s="969" t="e">
        <v>#REF!</v>
      </c>
      <c r="AT66" s="1251" t="e">
        <v>#REF!</v>
      </c>
      <c r="AU66" s="969" t="e">
        <v>#REF!</v>
      </c>
      <c r="AV66" s="969" t="e">
        <v>#REF!</v>
      </c>
      <c r="AW66" s="1251" t="e">
        <v>#REF!</v>
      </c>
      <c r="AX66" s="1274"/>
      <c r="AY66" s="2018">
        <v>0</v>
      </c>
      <c r="AZ66" s="2018">
        <v>13</v>
      </c>
      <c r="BA66" s="1822">
        <v>-13</v>
      </c>
      <c r="BB66" s="1056">
        <v>-1</v>
      </c>
      <c r="BC66" s="1251"/>
      <c r="BD66" s="1447">
        <v>0</v>
      </c>
      <c r="BE66" s="1935">
        <v>13</v>
      </c>
      <c r="BF66" s="1935">
        <v>-10</v>
      </c>
      <c r="BG66" s="1935">
        <v>-239</v>
      </c>
      <c r="BH66" s="1935">
        <v>-1092</v>
      </c>
      <c r="BI66" s="1935">
        <v>799</v>
      </c>
      <c r="BJ66" s="1054">
        <v>1657</v>
      </c>
      <c r="BK66" s="1054">
        <v>-830</v>
      </c>
      <c r="BL66" s="1054">
        <v>-796</v>
      </c>
      <c r="BM66" s="1054">
        <v>9000</v>
      </c>
      <c r="BN66" s="1054">
        <v>16467</v>
      </c>
      <c r="BO66" s="1025"/>
      <c r="BP66" s="1025"/>
      <c r="BQ66" s="1266"/>
      <c r="BR66" s="1226"/>
      <c r="BS66" s="1181"/>
      <c r="BV66" s="1181"/>
    </row>
    <row r="67" spans="1:74" ht="12.75" customHeight="1" x14ac:dyDescent="0.2">
      <c r="A67" s="1235"/>
      <c r="B67" s="969" t="s">
        <v>64</v>
      </c>
      <c r="C67" s="1252">
        <v>-29</v>
      </c>
      <c r="D67" s="1056">
        <v>-0.40845070422535212</v>
      </c>
      <c r="E67" s="1187"/>
      <c r="F67" s="933"/>
      <c r="G67" s="933"/>
      <c r="H67" s="933"/>
      <c r="I67" s="2352">
        <v>42</v>
      </c>
      <c r="J67" s="1028">
        <v>98</v>
      </c>
      <c r="K67" s="1028">
        <v>46</v>
      </c>
      <c r="L67" s="1028">
        <v>54</v>
      </c>
      <c r="M67" s="1059">
        <v>71</v>
      </c>
      <c r="N67" s="1028">
        <v>147</v>
      </c>
      <c r="O67" s="1028">
        <v>-692</v>
      </c>
      <c r="P67" s="1028">
        <v>470</v>
      </c>
      <c r="Q67" s="1059">
        <v>379</v>
      </c>
      <c r="R67" s="1028">
        <v>636</v>
      </c>
      <c r="S67" s="1028">
        <v>343</v>
      </c>
      <c r="T67" s="1028">
        <v>340</v>
      </c>
      <c r="U67" s="1059">
        <v>270</v>
      </c>
      <c r="V67" s="1028">
        <v>265</v>
      </c>
      <c r="W67" s="1028">
        <v>221</v>
      </c>
      <c r="X67" s="1028">
        <v>189</v>
      </c>
      <c r="Y67" s="1059">
        <v>212</v>
      </c>
      <c r="Z67" s="1921">
        <v>278</v>
      </c>
      <c r="AA67" s="1028">
        <v>101</v>
      </c>
      <c r="AB67" s="1028">
        <v>2</v>
      </c>
      <c r="AC67" s="1059">
        <v>55</v>
      </c>
      <c r="AD67" s="1921">
        <v>77</v>
      </c>
      <c r="AE67" s="1028">
        <v>45</v>
      </c>
      <c r="AF67" s="1028">
        <v>53</v>
      </c>
      <c r="AG67" s="1059">
        <v>45</v>
      </c>
      <c r="AH67" s="1028">
        <v>42</v>
      </c>
      <c r="AI67" s="1028">
        <v>13</v>
      </c>
      <c r="AJ67" s="1028" t="e">
        <v>#REF!</v>
      </c>
      <c r="AK67" s="1028" t="e">
        <v>#REF!</v>
      </c>
      <c r="AL67" s="1028" t="e">
        <v>#REF!</v>
      </c>
      <c r="AM67" s="1028" t="e">
        <v>#REF!</v>
      </c>
      <c r="AN67" s="1059" t="e">
        <v>#REF!</v>
      </c>
      <c r="AO67" s="1059" t="e">
        <v>#REF!</v>
      </c>
      <c r="AP67" s="1528" t="e">
        <v>#REF!</v>
      </c>
      <c r="AQ67" s="1251" t="e">
        <v>#REF!</v>
      </c>
      <c r="AR67" s="1251" t="e">
        <v>#REF!</v>
      </c>
      <c r="AS67" s="969" t="e">
        <v>#REF!</v>
      </c>
      <c r="AT67" s="1251" t="e">
        <v>#REF!</v>
      </c>
      <c r="AU67" s="969" t="e">
        <v>#REF!</v>
      </c>
      <c r="AV67" s="969" t="e">
        <v>#REF!</v>
      </c>
      <c r="AW67" s="1251" t="e">
        <v>#REF!</v>
      </c>
      <c r="AX67" s="1274"/>
      <c r="AY67" s="2018">
        <v>269</v>
      </c>
      <c r="AZ67" s="2018">
        <v>304</v>
      </c>
      <c r="BA67" s="1822">
        <v>-35</v>
      </c>
      <c r="BB67" s="1056">
        <v>-0.11513157894736842</v>
      </c>
      <c r="BC67" s="1251"/>
      <c r="BD67" s="1447">
        <v>269</v>
      </c>
      <c r="BE67" s="1935">
        <v>304</v>
      </c>
      <c r="BF67" s="1935">
        <v>1589</v>
      </c>
      <c r="BG67" s="1935">
        <v>887</v>
      </c>
      <c r="BH67" s="1935">
        <v>436</v>
      </c>
      <c r="BI67" s="1935">
        <v>220</v>
      </c>
      <c r="BJ67" s="1054">
        <v>70</v>
      </c>
      <c r="BK67" s="1054">
        <v>248</v>
      </c>
      <c r="BL67" s="1054">
        <v>610</v>
      </c>
      <c r="BM67" s="1054">
        <v>171</v>
      </c>
      <c r="BN67" s="1054">
        <v>2491</v>
      </c>
      <c r="BO67" s="1025"/>
      <c r="BP67" s="1025"/>
      <c r="BQ67" s="1266"/>
      <c r="BR67" s="1226"/>
      <c r="BS67" s="1181"/>
      <c r="BV67" s="1181"/>
    </row>
    <row r="68" spans="1:74" ht="12.75" customHeight="1" x14ac:dyDescent="0.2">
      <c r="A68" s="1429"/>
      <c r="B68" s="969" t="s">
        <v>65</v>
      </c>
      <c r="C68" s="1252">
        <v>1185</v>
      </c>
      <c r="D68" s="1234" t="s">
        <v>42</v>
      </c>
      <c r="E68" s="1415"/>
      <c r="F68" s="1406"/>
      <c r="G68" s="1406"/>
      <c r="H68" s="1406"/>
      <c r="I68" s="2353">
        <v>1223</v>
      </c>
      <c r="J68" s="1507">
        <v>-37</v>
      </c>
      <c r="K68" s="1507">
        <v>147</v>
      </c>
      <c r="L68" s="1507">
        <v>-104</v>
      </c>
      <c r="M68" s="1902">
        <v>38</v>
      </c>
      <c r="N68" s="1507">
        <v>230</v>
      </c>
      <c r="O68" s="1507">
        <v>-58</v>
      </c>
      <c r="P68" s="1507">
        <v>167</v>
      </c>
      <c r="Q68" s="1902">
        <v>216</v>
      </c>
      <c r="R68" s="1507">
        <v>-32</v>
      </c>
      <c r="S68" s="1507">
        <v>608</v>
      </c>
      <c r="T68" s="1507">
        <v>297</v>
      </c>
      <c r="U68" s="1902">
        <v>228</v>
      </c>
      <c r="V68" s="1507">
        <v>135</v>
      </c>
      <c r="W68" s="1507">
        <v>99</v>
      </c>
      <c r="X68" s="1507">
        <v>8</v>
      </c>
      <c r="Y68" s="1902">
        <v>12</v>
      </c>
      <c r="Z68" s="1922">
        <v>1</v>
      </c>
      <c r="AA68" s="1507">
        <v>51</v>
      </c>
      <c r="AB68" s="1507">
        <v>310</v>
      </c>
      <c r="AC68" s="1902">
        <v>11</v>
      </c>
      <c r="AD68" s="1922">
        <v>19</v>
      </c>
      <c r="AE68" s="1507">
        <v>-6</v>
      </c>
      <c r="AF68" s="1507">
        <v>-2</v>
      </c>
      <c r="AG68" s="1902">
        <v>7</v>
      </c>
      <c r="AH68" s="1028">
        <v>-11</v>
      </c>
      <c r="AI68" s="1028">
        <v>3</v>
      </c>
      <c r="AJ68" s="1028" t="e">
        <v>#REF!</v>
      </c>
      <c r="AK68" s="1028" t="e">
        <v>#REF!</v>
      </c>
      <c r="AL68" s="1028" t="e">
        <v>#REF!</v>
      </c>
      <c r="AM68" s="1507" t="e">
        <v>#REF!</v>
      </c>
      <c r="AN68" s="1059" t="e">
        <v>#REF!</v>
      </c>
      <c r="AO68" s="1059" t="e">
        <v>#REF!</v>
      </c>
      <c r="AP68" s="1531" t="e">
        <v>#REF!</v>
      </c>
      <c r="AQ68" s="1008" t="e">
        <v>#REF!</v>
      </c>
      <c r="AR68" s="1008" t="e">
        <v>#REF!</v>
      </c>
      <c r="AS68" s="1008" t="e">
        <v>#REF!</v>
      </c>
      <c r="AT68" s="1008" t="e">
        <v>#REF!</v>
      </c>
      <c r="AU68" s="1008" t="e">
        <v>#REF!</v>
      </c>
      <c r="AV68" s="1008" t="e">
        <v>#REF!</v>
      </c>
      <c r="AW68" s="1008" t="e">
        <v>#REF!</v>
      </c>
      <c r="AX68" s="1274"/>
      <c r="AY68" s="2018">
        <v>44</v>
      </c>
      <c r="AZ68" s="2018">
        <v>555</v>
      </c>
      <c r="BA68" s="1937">
        <v>-511</v>
      </c>
      <c r="BB68" s="1056">
        <v>-0.92072072072072075</v>
      </c>
      <c r="BC68" s="1235"/>
      <c r="BD68" s="1447">
        <v>44</v>
      </c>
      <c r="BE68" s="1936">
        <v>555</v>
      </c>
      <c r="BF68" s="1936">
        <v>1101</v>
      </c>
      <c r="BG68" s="1936">
        <v>254</v>
      </c>
      <c r="BH68" s="1936">
        <v>373</v>
      </c>
      <c r="BI68" s="1936">
        <v>18</v>
      </c>
      <c r="BJ68" s="1054">
        <v>236</v>
      </c>
      <c r="BK68" s="1054">
        <v>-44</v>
      </c>
      <c r="BL68" s="1054">
        <v>13</v>
      </c>
      <c r="BM68" s="1054">
        <v>-3</v>
      </c>
      <c r="BN68" s="1054">
        <v>885</v>
      </c>
      <c r="BO68" s="1025"/>
      <c r="BP68" s="1025"/>
      <c r="BQ68" s="1266"/>
      <c r="BR68" s="1226"/>
      <c r="BS68" s="1181"/>
      <c r="BV68" s="1181"/>
    </row>
    <row r="69" spans="1:74" ht="12.75" customHeight="1" x14ac:dyDescent="0.2">
      <c r="A69" s="1429"/>
      <c r="B69" s="969"/>
      <c r="C69" s="1430">
        <v>2798</v>
      </c>
      <c r="D69" s="1234">
        <v>0.26171546160321768</v>
      </c>
      <c r="E69" s="1185"/>
      <c r="F69" s="1416">
        <v>0</v>
      </c>
      <c r="G69" s="1416">
        <v>0</v>
      </c>
      <c r="H69" s="1416">
        <v>0</v>
      </c>
      <c r="I69" s="2318">
        <v>13489</v>
      </c>
      <c r="J69" s="1539">
        <v>11680</v>
      </c>
      <c r="K69" s="1539">
        <v>8163</v>
      </c>
      <c r="L69" s="1539">
        <v>7482</v>
      </c>
      <c r="M69" s="1540">
        <v>10691</v>
      </c>
      <c r="N69" s="1539">
        <v>15978</v>
      </c>
      <c r="O69" s="1539">
        <v>7489</v>
      </c>
      <c r="P69" s="1539">
        <v>12089</v>
      </c>
      <c r="Q69" s="1540">
        <v>14050</v>
      </c>
      <c r="R69" s="1539">
        <v>9154</v>
      </c>
      <c r="S69" s="1539">
        <v>15975</v>
      </c>
      <c r="T69" s="1539">
        <v>8491</v>
      </c>
      <c r="U69" s="1540">
        <v>4864</v>
      </c>
      <c r="V69" s="1539">
        <v>6425</v>
      </c>
      <c r="W69" s="1539">
        <v>7298</v>
      </c>
      <c r="X69" s="1539">
        <v>6157</v>
      </c>
      <c r="Y69" s="1540">
        <v>5407</v>
      </c>
      <c r="Z69" s="1539">
        <v>3713</v>
      </c>
      <c r="AA69" s="1539">
        <v>6694</v>
      </c>
      <c r="AB69" s="1539">
        <v>-167</v>
      </c>
      <c r="AC69" s="1540">
        <v>252</v>
      </c>
      <c r="AD69" s="1539">
        <v>603</v>
      </c>
      <c r="AE69" s="1539">
        <v>416</v>
      </c>
      <c r="AF69" s="1539">
        <v>361</v>
      </c>
      <c r="AG69" s="1540">
        <v>-152</v>
      </c>
      <c r="AH69" s="1539">
        <v>3494</v>
      </c>
      <c r="AI69" s="1539">
        <v>333</v>
      </c>
      <c r="AJ69" s="1539" t="e">
        <v>#REF!</v>
      </c>
      <c r="AK69" s="1540" t="e">
        <v>#REF!</v>
      </c>
      <c r="AL69" s="1541" t="e">
        <v>#REF!</v>
      </c>
      <c r="AM69" s="1539" t="e">
        <v>#REF!</v>
      </c>
      <c r="AN69" s="1540" t="e">
        <v>#REF!</v>
      </c>
      <c r="AO69" s="1540" t="e">
        <v>#REF!</v>
      </c>
      <c r="AP69" s="1540" t="e">
        <v>#REF!</v>
      </c>
      <c r="AQ69" s="964" t="e">
        <v>#REF!</v>
      </c>
      <c r="AR69" s="964" t="e">
        <v>#REF!</v>
      </c>
      <c r="AS69" s="964" t="e">
        <v>#REF!</v>
      </c>
      <c r="AT69" s="964" t="e">
        <v>#REF!</v>
      </c>
      <c r="AU69" s="964" t="e">
        <v>#REF!</v>
      </c>
      <c r="AV69" s="964" t="e">
        <v>#REF!</v>
      </c>
      <c r="AW69" s="964" t="e">
        <v>#REF!</v>
      </c>
      <c r="AX69" s="1265"/>
      <c r="AY69" s="1335">
        <v>38016</v>
      </c>
      <c r="AZ69" s="1335">
        <v>49606</v>
      </c>
      <c r="BA69" s="1984">
        <v>-11590</v>
      </c>
      <c r="BB69" s="1232">
        <v>-0.23364109180341089</v>
      </c>
      <c r="BD69" s="1543">
        <v>38016</v>
      </c>
      <c r="BE69" s="2048">
        <v>49606</v>
      </c>
      <c r="BF69" s="2048">
        <v>38484</v>
      </c>
      <c r="BG69" s="2048">
        <v>25287</v>
      </c>
      <c r="BH69" s="2048">
        <v>10492</v>
      </c>
      <c r="BI69" s="2048">
        <v>1228</v>
      </c>
      <c r="BJ69" s="1544">
        <v>5894</v>
      </c>
      <c r="BK69" s="1544">
        <v>6781</v>
      </c>
      <c r="BL69" s="1543">
        <v>9937</v>
      </c>
      <c r="BM69" s="1543">
        <v>15897</v>
      </c>
      <c r="BN69" s="1288">
        <f>SUM(BN63:BN68)</f>
        <v>125900</v>
      </c>
      <c r="BO69" s="1025"/>
      <c r="BP69" s="1025"/>
      <c r="BQ69" s="1266"/>
      <c r="BR69" s="1226"/>
      <c r="BS69" s="1181"/>
      <c r="BV69" s="1181"/>
    </row>
    <row r="70" spans="1:74" ht="12.75" customHeight="1" x14ac:dyDescent="0.2">
      <c r="B70" s="990"/>
      <c r="C70" s="2012"/>
      <c r="D70" s="2012"/>
      <c r="E70" s="2001"/>
      <c r="F70" s="2001"/>
      <c r="G70" s="2001"/>
      <c r="H70" s="2001"/>
      <c r="I70" s="2001"/>
      <c r="J70" s="2012"/>
      <c r="K70" s="2012"/>
      <c r="L70" s="2012"/>
      <c r="M70" s="964"/>
      <c r="N70" s="2012"/>
      <c r="O70" s="2012"/>
      <c r="P70" s="2012"/>
      <c r="Q70" s="964"/>
      <c r="R70" s="2012"/>
      <c r="S70" s="2012"/>
      <c r="T70" s="2012"/>
      <c r="U70" s="964"/>
      <c r="V70" s="2012"/>
      <c r="W70" s="2012"/>
      <c r="X70" s="2012"/>
      <c r="Y70" s="964"/>
      <c r="Z70" s="2012"/>
      <c r="AA70" s="2012"/>
      <c r="AB70" s="2012"/>
      <c r="AC70" s="964"/>
      <c r="AD70" s="2012"/>
      <c r="AE70" s="2012"/>
      <c r="AF70" s="2012"/>
      <c r="AG70" s="964"/>
      <c r="AH70" s="2012"/>
      <c r="AI70" s="2012"/>
      <c r="AJ70" s="2012"/>
      <c r="AK70" s="964"/>
      <c r="AL70" s="2012"/>
      <c r="AM70" s="2012"/>
      <c r="AN70" s="2012"/>
      <c r="AO70" s="964"/>
      <c r="AS70" s="964"/>
      <c r="AU70" s="964"/>
      <c r="AV70" s="964"/>
      <c r="AW70" s="2049"/>
      <c r="AX70" s="1517"/>
      <c r="AY70" s="1517"/>
      <c r="AZ70" s="1517"/>
      <c r="BA70" s="1517"/>
      <c r="BB70" s="1517"/>
      <c r="BC70" s="2019"/>
      <c r="BD70" s="1517"/>
      <c r="BE70" s="1517"/>
      <c r="BF70" s="1517"/>
      <c r="BG70" s="1517"/>
      <c r="BH70" s="1517"/>
      <c r="BI70" s="1517"/>
      <c r="BJ70" s="2019"/>
      <c r="BK70" s="2019"/>
      <c r="BQ70" s="1226"/>
      <c r="BR70" s="1226"/>
      <c r="BS70" s="1181"/>
    </row>
    <row r="71" spans="1:74" x14ac:dyDescent="0.2">
      <c r="A71" s="969" t="s">
        <v>381</v>
      </c>
    </row>
    <row r="72" spans="1:74" x14ac:dyDescent="0.2">
      <c r="A72" s="989" t="s">
        <v>29</v>
      </c>
      <c r="C72" s="1235"/>
      <c r="D72" s="1235"/>
      <c r="E72" s="1188"/>
      <c r="F72" s="1188"/>
      <c r="G72" s="1188"/>
      <c r="H72" s="1188"/>
      <c r="I72" s="1188"/>
      <c r="J72" s="1281"/>
      <c r="K72" s="1281"/>
      <c r="L72" s="1281"/>
      <c r="M72" s="1281"/>
      <c r="N72" s="1281"/>
      <c r="O72" s="1281"/>
      <c r="P72" s="1281"/>
      <c r="Q72" s="1281"/>
      <c r="R72" s="1281"/>
      <c r="S72" s="1281"/>
      <c r="T72" s="1281"/>
      <c r="U72" s="1281"/>
      <c r="V72" s="1281"/>
      <c r="W72" s="1281"/>
      <c r="X72" s="1281"/>
      <c r="Y72" s="1281"/>
      <c r="Z72" s="1281"/>
      <c r="AA72" s="1281"/>
      <c r="AB72" s="1281"/>
      <c r="AC72" s="1281"/>
      <c r="AD72" s="1281"/>
      <c r="AE72" s="1281"/>
      <c r="AF72" s="1281"/>
      <c r="AG72" s="1281"/>
      <c r="AH72" s="1281"/>
      <c r="AI72" s="1281"/>
      <c r="AJ72" s="1281"/>
      <c r="AK72" s="1281"/>
      <c r="AL72" s="1281"/>
      <c r="AM72" s="1281"/>
      <c r="AN72" s="1281"/>
      <c r="AO72" s="1281"/>
      <c r="AP72" s="1281"/>
      <c r="AQ72" s="1281"/>
      <c r="AR72" s="1281"/>
      <c r="AS72" s="1281"/>
      <c r="AT72" s="1281"/>
      <c r="AU72" s="1281"/>
      <c r="AV72" s="1281"/>
      <c r="AW72" s="1281"/>
      <c r="AX72" s="1281"/>
      <c r="AY72" s="1281"/>
      <c r="AZ72" s="1281"/>
      <c r="BA72" s="2050"/>
      <c r="BB72" s="2050"/>
      <c r="BC72" s="1281"/>
      <c r="BD72" s="2050"/>
      <c r="BE72" s="2050"/>
      <c r="BF72" s="2050"/>
      <c r="BG72" s="2050"/>
      <c r="BH72" s="2050"/>
      <c r="BI72" s="2050"/>
      <c r="BJ72" s="1281"/>
      <c r="BK72" s="1281"/>
      <c r="BL72" s="1281"/>
      <c r="BM72" s="1281"/>
      <c r="BN72" s="1281"/>
      <c r="BQ72" s="1226"/>
      <c r="BR72" s="1226"/>
      <c r="BS72" s="1181"/>
    </row>
    <row r="73" spans="1:74" x14ac:dyDescent="0.2">
      <c r="A73" s="964"/>
      <c r="B73" s="1226"/>
      <c r="C73" s="1517"/>
      <c r="D73" s="1517"/>
      <c r="E73" s="1411"/>
      <c r="F73" s="1411"/>
      <c r="G73" s="1411"/>
      <c r="H73" s="1411"/>
      <c r="I73" s="1411"/>
      <c r="J73" s="1041"/>
      <c r="K73" s="1041"/>
      <c r="L73" s="1041"/>
      <c r="M73" s="1041"/>
      <c r="N73" s="1041"/>
      <c r="O73" s="1041"/>
      <c r="P73" s="1041"/>
      <c r="Q73" s="1041"/>
      <c r="R73" s="1041"/>
      <c r="S73" s="1041"/>
      <c r="T73" s="1041"/>
      <c r="U73" s="1041"/>
      <c r="V73" s="1041"/>
      <c r="W73" s="1041"/>
      <c r="X73" s="1041"/>
      <c r="Y73" s="1041"/>
      <c r="Z73" s="1041"/>
      <c r="AA73" s="1041"/>
      <c r="AB73" s="1041"/>
      <c r="AC73" s="1041"/>
      <c r="AD73" s="1041"/>
      <c r="AE73" s="1041"/>
      <c r="AF73" s="1041"/>
    </row>
    <row r="74" spans="1:74" x14ac:dyDescent="0.2">
      <c r="A74" s="969" t="s">
        <v>310</v>
      </c>
      <c r="C74" s="1235"/>
      <c r="D74" s="1235"/>
      <c r="E74" s="1188"/>
      <c r="F74" s="1188"/>
      <c r="G74" s="1188"/>
      <c r="H74" s="1188"/>
      <c r="I74" s="1188"/>
      <c r="J74" s="1251"/>
      <c r="K74" s="1251"/>
      <c r="L74" s="1251"/>
      <c r="M74" s="1225"/>
      <c r="N74" s="1251"/>
      <c r="O74" s="1251"/>
      <c r="P74" s="1251"/>
      <c r="Q74" s="1225"/>
      <c r="R74" s="1251"/>
      <c r="S74" s="1251"/>
      <c r="T74" s="1251"/>
      <c r="U74" s="1225"/>
      <c r="V74" s="1251"/>
      <c r="W74" s="1251"/>
      <c r="X74" s="1251"/>
      <c r="Y74" s="1225"/>
      <c r="Z74" s="1251"/>
      <c r="AA74" s="1251"/>
      <c r="AB74" s="1251"/>
      <c r="AC74" s="1225"/>
      <c r="AD74" s="1251"/>
      <c r="AE74" s="1251"/>
      <c r="AF74" s="1251"/>
      <c r="AG74" s="1225"/>
      <c r="AH74" s="1251"/>
      <c r="AI74" s="1251"/>
      <c r="AJ74" s="1251"/>
      <c r="AK74" s="1225"/>
      <c r="AL74" s="1251"/>
      <c r="AM74" s="1251"/>
      <c r="AN74" s="1251"/>
      <c r="AW74" s="1025"/>
      <c r="AX74" s="1251"/>
      <c r="AY74" s="1251"/>
      <c r="AZ74" s="1251"/>
      <c r="BA74" s="2015"/>
      <c r="BB74" s="2015"/>
      <c r="BC74" s="1235"/>
      <c r="BD74" s="2015"/>
      <c r="BE74" s="2015"/>
      <c r="BF74" s="2015"/>
      <c r="BG74" s="2051"/>
      <c r="BH74" s="2015"/>
      <c r="BI74" s="2015"/>
      <c r="BJ74" s="1235"/>
      <c r="BK74" s="1235"/>
      <c r="BM74" s="1025"/>
    </row>
    <row r="75" spans="1:74" x14ac:dyDescent="0.2">
      <c r="C75" s="1235"/>
      <c r="D75" s="1235"/>
      <c r="E75" s="1188"/>
      <c r="F75" s="1188"/>
      <c r="G75" s="1188"/>
      <c r="H75" s="1188"/>
      <c r="I75" s="1188"/>
      <c r="J75" s="1251"/>
      <c r="K75" s="1251"/>
      <c r="L75" s="1251"/>
      <c r="M75" s="1225"/>
      <c r="N75" s="1251"/>
      <c r="O75" s="1251"/>
      <c r="P75" s="1251"/>
      <c r="Q75" s="1225"/>
      <c r="R75" s="1251"/>
      <c r="S75" s="1251"/>
      <c r="T75" s="1251"/>
      <c r="U75" s="1225"/>
      <c r="V75" s="1251"/>
      <c r="W75" s="1251"/>
      <c r="X75" s="1294"/>
      <c r="Y75" s="1225"/>
      <c r="Z75" s="1251"/>
      <c r="AA75" s="1251"/>
      <c r="AB75" s="1251"/>
      <c r="AC75" s="1225"/>
      <c r="AD75" s="1251"/>
      <c r="AE75" s="1251"/>
      <c r="AF75" s="1251"/>
      <c r="AG75" s="1225"/>
      <c r="AH75" s="1251"/>
      <c r="AI75" s="1251"/>
      <c r="AJ75" s="1251"/>
      <c r="AK75" s="1225"/>
      <c r="AL75" s="1251"/>
      <c r="AM75" s="1251"/>
      <c r="AN75" s="1251"/>
      <c r="AW75" s="1025"/>
      <c r="AX75" s="1251"/>
      <c r="AY75" s="1251"/>
      <c r="AZ75" s="1251"/>
      <c r="BA75" s="2052"/>
      <c r="BB75" s="2052"/>
      <c r="BC75" s="1235"/>
      <c r="BD75" s="2015"/>
      <c r="BE75" s="2015"/>
      <c r="BF75" s="2015"/>
      <c r="BG75" s="2015"/>
      <c r="BH75" s="2015"/>
      <c r="BI75" s="2015"/>
      <c r="BJ75" s="1235"/>
      <c r="BK75" s="1235"/>
      <c r="BM75" s="969"/>
    </row>
    <row r="76" spans="1:74" x14ac:dyDescent="0.2">
      <c r="M76" s="1225"/>
      <c r="Q76" s="1225"/>
      <c r="U76" s="1225"/>
      <c r="Y76" s="1225"/>
      <c r="Z76" s="1251"/>
      <c r="AC76" s="1225"/>
      <c r="AG76" s="1225"/>
      <c r="AK76" s="1225"/>
      <c r="AW76" s="981"/>
      <c r="AY76" s="1226"/>
      <c r="AZ76" s="1226"/>
      <c r="BA76" s="2053"/>
      <c r="BD76" s="1260"/>
      <c r="BE76" s="1260"/>
      <c r="BF76" s="1260"/>
      <c r="BG76" s="1260"/>
      <c r="BH76" s="1260"/>
      <c r="BI76" s="1260"/>
      <c r="BM76" s="1041"/>
      <c r="BO76" s="1025"/>
    </row>
    <row r="77" spans="1:74" x14ac:dyDescent="0.2">
      <c r="M77" s="1225"/>
      <c r="Q77" s="1225"/>
      <c r="U77" s="1225"/>
      <c r="Y77" s="1225"/>
      <c r="Z77" s="1251"/>
      <c r="AC77" s="1225"/>
      <c r="AG77" s="1225"/>
      <c r="AK77" s="1225"/>
      <c r="AW77" s="1178"/>
      <c r="AY77" s="1226"/>
      <c r="AZ77" s="1226"/>
      <c r="BA77" s="2053"/>
      <c r="BD77" s="1260"/>
      <c r="BE77" s="1260"/>
      <c r="BF77" s="1260"/>
      <c r="BG77" s="1260"/>
      <c r="BH77" s="1260"/>
      <c r="BI77" s="1260"/>
      <c r="BM77" s="964"/>
      <c r="BO77" s="1349"/>
    </row>
    <row r="78" spans="1:74" x14ac:dyDescent="0.2">
      <c r="M78" s="1225"/>
      <c r="Q78" s="1225"/>
      <c r="U78" s="1225"/>
      <c r="Y78" s="1225"/>
      <c r="Z78" s="1251"/>
      <c r="AC78" s="1225"/>
      <c r="AG78" s="1225"/>
      <c r="AK78" s="1225"/>
      <c r="AW78" s="1392"/>
      <c r="AY78" s="1226"/>
      <c r="AZ78" s="1226"/>
      <c r="BD78" s="1260"/>
      <c r="BE78" s="1260"/>
      <c r="BF78" s="1260"/>
      <c r="BG78" s="1260"/>
      <c r="BH78" s="1260"/>
      <c r="BI78" s="1260"/>
      <c r="BM78" s="964"/>
    </row>
    <row r="79" spans="1:74" x14ac:dyDescent="0.2">
      <c r="M79" s="1225"/>
      <c r="Q79" s="1225"/>
      <c r="U79" s="1225"/>
      <c r="Y79" s="1225"/>
      <c r="Z79" s="1251"/>
      <c r="AC79" s="1225"/>
      <c r="AG79" s="1225"/>
      <c r="AK79" s="1225"/>
      <c r="AW79" s="964"/>
      <c r="AY79" s="1226"/>
      <c r="AZ79" s="1226"/>
      <c r="BD79" s="1260"/>
      <c r="BE79" s="1260"/>
      <c r="BF79" s="1260"/>
      <c r="BG79" s="1260"/>
      <c r="BH79" s="1260"/>
      <c r="BI79" s="1260"/>
      <c r="BM79" s="1041"/>
    </row>
    <row r="80" spans="1:74" x14ac:dyDescent="0.2">
      <c r="Z80" s="1251"/>
      <c r="AG80" s="1041">
        <f t="shared" ref="AG80:AW80" si="3">AG69-AG17</f>
        <v>0</v>
      </c>
      <c r="AH80" s="1041">
        <f t="shared" si="3"/>
        <v>0</v>
      </c>
      <c r="AI80" s="1041">
        <f t="shared" si="3"/>
        <v>0</v>
      </c>
      <c r="AJ80" s="1041" t="e">
        <f t="shared" si="3"/>
        <v>#REF!</v>
      </c>
      <c r="AK80" s="1041" t="e">
        <f t="shared" si="3"/>
        <v>#REF!</v>
      </c>
      <c r="AL80" s="1041" t="e">
        <f t="shared" si="3"/>
        <v>#REF!</v>
      </c>
      <c r="AM80" s="1041" t="e">
        <f t="shared" si="3"/>
        <v>#REF!</v>
      </c>
      <c r="AN80" s="1041" t="e">
        <f t="shared" si="3"/>
        <v>#REF!</v>
      </c>
      <c r="AO80" s="1041" t="e">
        <f t="shared" si="3"/>
        <v>#REF!</v>
      </c>
      <c r="AP80" s="1041" t="e">
        <f t="shared" si="3"/>
        <v>#REF!</v>
      </c>
      <c r="AQ80" s="1041" t="e">
        <f t="shared" si="3"/>
        <v>#REF!</v>
      </c>
      <c r="AR80" s="1041" t="e">
        <f t="shared" si="3"/>
        <v>#REF!</v>
      </c>
      <c r="AS80" s="1041" t="e">
        <f t="shared" si="3"/>
        <v>#REF!</v>
      </c>
      <c r="AT80" s="1041" t="e">
        <f t="shared" si="3"/>
        <v>#REF!</v>
      </c>
      <c r="AU80" s="1041" t="e">
        <f t="shared" si="3"/>
        <v>#REF!</v>
      </c>
      <c r="AV80" s="1041" t="e">
        <f t="shared" si="3"/>
        <v>#REF!</v>
      </c>
      <c r="AW80" s="1041" t="e">
        <f t="shared" si="3"/>
        <v>#REF!</v>
      </c>
      <c r="AX80" s="1041"/>
      <c r="AY80" s="1041"/>
      <c r="AZ80" s="1041"/>
      <c r="BA80" s="1108"/>
      <c r="BB80" s="1108"/>
      <c r="BC80" s="1041"/>
      <c r="BD80" s="1108"/>
      <c r="BE80" s="1108"/>
      <c r="BF80" s="1108"/>
      <c r="BG80" s="1108"/>
      <c r="BH80" s="1108"/>
      <c r="BI80" s="1108">
        <v>0</v>
      </c>
      <c r="BJ80" s="1041">
        <f>BJ69-BJ17</f>
        <v>0</v>
      </c>
      <c r="BK80" s="1041">
        <f>BK69-BK17</f>
        <v>0</v>
      </c>
      <c r="BL80" s="1041">
        <f>BL69-BL17</f>
        <v>0</v>
      </c>
      <c r="BM80" s="1041">
        <f>BM69-BM17</f>
        <v>0</v>
      </c>
      <c r="BN80" s="1041">
        <f>BN69-BN17</f>
        <v>0</v>
      </c>
      <c r="BQ80" s="1226"/>
      <c r="BR80" s="1226"/>
      <c r="BS80" s="1181"/>
    </row>
    <row r="81" spans="13:65" x14ac:dyDescent="0.2">
      <c r="M81" s="1225"/>
      <c r="Q81" s="1225"/>
      <c r="U81" s="1225"/>
      <c r="Y81" s="1225"/>
      <c r="Z81" s="1251"/>
      <c r="AC81" s="1225"/>
      <c r="AG81" s="1225"/>
      <c r="AK81" s="1225"/>
      <c r="AW81" s="1041"/>
      <c r="AY81" s="1226"/>
      <c r="AZ81" s="1226"/>
      <c r="BD81" s="1260"/>
      <c r="BE81" s="1260"/>
      <c r="BF81" s="1260"/>
      <c r="BG81" s="1260"/>
      <c r="BH81" s="1260"/>
      <c r="BI81" s="1260"/>
      <c r="BM81" s="981"/>
    </row>
    <row r="82" spans="13:65" x14ac:dyDescent="0.2">
      <c r="M82" s="1225"/>
      <c r="Q82" s="1225"/>
      <c r="U82" s="1225"/>
      <c r="Y82" s="1225"/>
      <c r="AC82" s="1225"/>
      <c r="AG82" s="1225"/>
      <c r="AK82" s="1225"/>
      <c r="AW82" s="975"/>
      <c r="AY82" s="1226"/>
      <c r="AZ82" s="1226"/>
      <c r="BD82" s="1260"/>
      <c r="BE82" s="1260"/>
      <c r="BF82" s="1260"/>
      <c r="BG82" s="1260"/>
      <c r="BH82" s="1260"/>
      <c r="BI82" s="1260"/>
      <c r="BM82" s="1057"/>
    </row>
    <row r="83" spans="13:65" x14ac:dyDescent="0.2">
      <c r="M83" s="1225"/>
      <c r="Q83" s="1225"/>
      <c r="U83" s="1225"/>
      <c r="Y83" s="1225"/>
      <c r="AC83" s="1225"/>
      <c r="AG83" s="1225"/>
      <c r="AK83" s="1225"/>
      <c r="AW83" s="975"/>
      <c r="AY83" s="1226"/>
      <c r="AZ83" s="1226"/>
      <c r="BD83" s="1260"/>
      <c r="BE83" s="1260"/>
      <c r="BF83" s="1260"/>
      <c r="BG83" s="1260"/>
      <c r="BH83" s="1260"/>
      <c r="BI83" s="1260"/>
      <c r="BM83" s="1057"/>
    </row>
    <row r="84" spans="13:65" x14ac:dyDescent="0.2">
      <c r="M84" s="1225"/>
      <c r="Q84" s="1225"/>
      <c r="U84" s="1225"/>
      <c r="Y84" s="1225"/>
      <c r="AC84" s="1225"/>
      <c r="AG84" s="1225"/>
      <c r="AK84" s="1225"/>
      <c r="AW84" s="975"/>
      <c r="AY84" s="1226"/>
      <c r="AZ84" s="1226"/>
      <c r="BD84" s="1260"/>
      <c r="BE84" s="1260"/>
      <c r="BF84" s="1260"/>
      <c r="BG84" s="1260"/>
      <c r="BH84" s="1260"/>
      <c r="BI84" s="1260"/>
      <c r="BM84" s="1057"/>
    </row>
    <row r="85" spans="13:65" x14ac:dyDescent="0.2">
      <c r="M85" s="1225"/>
      <c r="Q85" s="1225"/>
      <c r="U85" s="1225"/>
      <c r="Y85" s="1225"/>
      <c r="AC85" s="1225"/>
      <c r="AG85" s="1225"/>
      <c r="AK85" s="1225"/>
      <c r="AW85" s="1057"/>
      <c r="AY85" s="1226"/>
      <c r="AZ85" s="1226"/>
      <c r="BD85" s="1260"/>
      <c r="BE85" s="1260"/>
      <c r="BF85" s="1260"/>
      <c r="BG85" s="1260"/>
      <c r="BH85" s="1260"/>
      <c r="BI85" s="1260"/>
      <c r="BM85" s="1120"/>
    </row>
    <row r="86" spans="13:65" x14ac:dyDescent="0.2">
      <c r="M86" s="1225"/>
      <c r="Q86" s="1225"/>
      <c r="U86" s="1225"/>
      <c r="Y86" s="1225"/>
      <c r="AC86" s="1225"/>
      <c r="AG86" s="1225"/>
      <c r="AK86" s="1225"/>
      <c r="AW86" s="1120"/>
      <c r="AY86" s="1226"/>
      <c r="AZ86" s="1226"/>
      <c r="BD86" s="1260"/>
      <c r="BE86" s="1260"/>
      <c r="BF86" s="1260"/>
      <c r="BG86" s="1260"/>
      <c r="BH86" s="1260"/>
      <c r="BI86" s="1260"/>
      <c r="BL86" s="1120"/>
      <c r="BM86" s="1120"/>
    </row>
    <row r="87" spans="13:65" x14ac:dyDescent="0.2">
      <c r="M87" s="1225"/>
      <c r="Q87" s="1225"/>
      <c r="U87" s="1225"/>
      <c r="Y87" s="1225"/>
      <c r="AC87" s="1225"/>
      <c r="AG87" s="1225"/>
      <c r="AK87" s="1225"/>
      <c r="AW87" s="1120"/>
      <c r="AY87" s="1226"/>
      <c r="AZ87" s="1226"/>
      <c r="BD87" s="1260"/>
      <c r="BE87" s="1260"/>
      <c r="BF87" s="1260"/>
      <c r="BG87" s="1260"/>
      <c r="BH87" s="1260"/>
      <c r="BI87" s="1260"/>
      <c r="BL87" s="1226"/>
      <c r="BM87" s="1226"/>
    </row>
    <row r="88" spans="13:65" x14ac:dyDescent="0.2">
      <c r="M88" s="1225"/>
      <c r="Q88" s="1225"/>
      <c r="U88" s="1225"/>
      <c r="Y88" s="1225"/>
      <c r="AC88" s="1225"/>
      <c r="AG88" s="1225"/>
      <c r="AK88" s="1225"/>
      <c r="AW88" s="1226"/>
      <c r="AY88" s="1226"/>
      <c r="AZ88" s="1226"/>
      <c r="BD88" s="1260"/>
      <c r="BE88" s="1260"/>
      <c r="BF88" s="1260"/>
      <c r="BG88" s="1260"/>
      <c r="BH88" s="1260"/>
      <c r="BI88" s="1260"/>
      <c r="BL88" s="1226"/>
      <c r="BM88" s="1226"/>
    </row>
    <row r="89" spans="13:65" x14ac:dyDescent="0.2">
      <c r="M89" s="1225"/>
      <c r="Q89" s="1225"/>
      <c r="U89" s="1225"/>
      <c r="Y89" s="1225"/>
      <c r="AC89" s="1225"/>
      <c r="AG89" s="1225"/>
      <c r="AK89" s="1225"/>
      <c r="AW89" s="1226"/>
      <c r="AY89" s="1226"/>
      <c r="AZ89" s="1226"/>
      <c r="BD89" s="1260"/>
      <c r="BE89" s="1260"/>
      <c r="BF89" s="1260"/>
      <c r="BG89" s="1260"/>
      <c r="BH89" s="1260"/>
      <c r="BI89" s="1260"/>
      <c r="BL89" s="1226"/>
      <c r="BM89" s="1226"/>
    </row>
    <row r="90" spans="13:65" x14ac:dyDescent="0.2">
      <c r="M90" s="1225"/>
      <c r="Q90" s="1225"/>
      <c r="U90" s="1225"/>
      <c r="Y90" s="1225"/>
      <c r="AC90" s="1225"/>
      <c r="AG90" s="1225"/>
      <c r="AK90" s="1225"/>
      <c r="AW90" s="1226"/>
      <c r="AY90" s="1226"/>
      <c r="AZ90" s="1226"/>
      <c r="BD90" s="1260"/>
      <c r="BE90" s="1260"/>
      <c r="BF90" s="1260"/>
      <c r="BG90" s="1260"/>
      <c r="BH90" s="1260"/>
      <c r="BI90" s="1260"/>
      <c r="BL90" s="1226"/>
      <c r="BM90" s="1226"/>
    </row>
    <row r="91" spans="13:65" x14ac:dyDescent="0.2">
      <c r="M91" s="1225"/>
      <c r="Q91" s="1225"/>
      <c r="U91" s="1225"/>
      <c r="Y91" s="1225"/>
      <c r="AC91" s="1225"/>
      <c r="AG91" s="1225"/>
      <c r="AK91" s="1225"/>
      <c r="AW91" s="1226"/>
      <c r="AY91" s="1226"/>
      <c r="AZ91" s="1226"/>
      <c r="BD91" s="1260"/>
      <c r="BE91" s="1260"/>
      <c r="BF91" s="1260"/>
      <c r="BG91" s="1260"/>
      <c r="BH91" s="1260"/>
      <c r="BI91" s="1260"/>
      <c r="BL91" s="1226"/>
      <c r="BM91" s="1226"/>
    </row>
    <row r="92" spans="13:65" x14ac:dyDescent="0.2">
      <c r="M92" s="1225"/>
      <c r="Q92" s="1225"/>
      <c r="U92" s="1225"/>
      <c r="Y92" s="1225"/>
      <c r="AC92" s="1225"/>
      <c r="AG92" s="1225"/>
      <c r="AK92" s="1225"/>
      <c r="AW92" s="1226"/>
      <c r="AY92" s="1226"/>
      <c r="AZ92" s="1226"/>
      <c r="BD92" s="1260"/>
      <c r="BE92" s="1260"/>
      <c r="BF92" s="1260"/>
      <c r="BG92" s="1260"/>
      <c r="BH92" s="1260"/>
      <c r="BI92" s="1260"/>
    </row>
    <row r="93" spans="13:65" x14ac:dyDescent="0.2">
      <c r="M93" s="1225"/>
      <c r="Q93" s="1225"/>
      <c r="U93" s="1225"/>
      <c r="Y93" s="1225"/>
      <c r="AC93" s="1225"/>
      <c r="AG93" s="1225"/>
      <c r="AK93" s="1225"/>
    </row>
  </sheetData>
  <mergeCells count="11">
    <mergeCell ref="C49:D49"/>
    <mergeCell ref="C11:D11"/>
    <mergeCell ref="C12:D12"/>
    <mergeCell ref="BA12:BB12"/>
    <mergeCell ref="A33:B33"/>
    <mergeCell ref="A35:B35"/>
    <mergeCell ref="C50:D50"/>
    <mergeCell ref="BA50:BB50"/>
    <mergeCell ref="C61:D61"/>
    <mergeCell ref="C62:D62"/>
    <mergeCell ref="BA62:BB62"/>
  </mergeCells>
  <printOptions horizontalCentered="1"/>
  <pageMargins left="0.3" right="0.3" top="0.4" bottom="0.6" header="0" footer="0.3"/>
  <pageSetup scale="54" orientation="landscape" r:id="rId1"/>
  <headerFooter alignWithMargins="0">
    <oddFooter>&amp;L&amp;F&amp;CPage 7</oddFooter>
  </headerFooter>
  <colBreaks count="1" manualBreakCount="1">
    <brk id="66" max="7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6"/>
  <sheetViews>
    <sheetView topLeftCell="A10" zoomScale="80" zoomScaleNormal="80" zoomScaleSheetLayoutView="90" workbookViewId="0">
      <selection activeCell="BV57" sqref="BV57"/>
    </sheetView>
  </sheetViews>
  <sheetFormatPr defaultRowHeight="12.75" x14ac:dyDescent="0.2"/>
  <cols>
    <col min="1" max="1" width="2.7109375" style="1225" customWidth="1"/>
    <col min="2" max="2" width="52.85546875" style="1225" customWidth="1"/>
    <col min="3" max="4" width="9.7109375" style="1225" customWidth="1"/>
    <col min="5" max="5" width="1.5703125" style="1181" customWidth="1"/>
    <col min="6" max="8" width="7.140625" style="1181" hidden="1" customWidth="1"/>
    <col min="9" max="9" width="9.140625" style="1181" customWidth="1"/>
    <col min="10" max="10" width="9.7109375" style="1226" customWidth="1"/>
    <col min="11" max="11" width="11.28515625" style="1226" bestFit="1" customWidth="1"/>
    <col min="12" max="12" width="9.28515625" style="1226" customWidth="1"/>
    <col min="13" max="13" width="9.42578125" style="1226" customWidth="1"/>
    <col min="14" max="14" width="9.7109375" style="1226" customWidth="1"/>
    <col min="15" max="15" width="7.28515625" style="1226" bestFit="1" customWidth="1"/>
    <col min="16" max="16" width="9.28515625" style="1226" customWidth="1"/>
    <col min="17" max="17" width="9.42578125" style="1226" customWidth="1"/>
    <col min="18" max="20" width="9.28515625" style="1226" hidden="1" customWidth="1"/>
    <col min="21" max="21" width="9.42578125" style="1226" hidden="1" customWidth="1"/>
    <col min="22" max="24" width="9.28515625" style="1226" hidden="1" customWidth="1"/>
    <col min="25" max="26" width="9.42578125" style="1226" hidden="1" customWidth="1"/>
    <col min="27" max="28" width="9.28515625" style="1226" hidden="1" customWidth="1"/>
    <col min="29" max="30" width="9.42578125" style="1226" hidden="1" customWidth="1"/>
    <col min="31" max="38" width="9.28515625" style="1226" hidden="1" customWidth="1"/>
    <col min="39" max="40" width="9.7109375" style="1226" hidden="1" customWidth="1"/>
    <col min="41" max="49" width="9.7109375" style="1225" hidden="1" customWidth="1"/>
    <col min="50" max="50" width="1.5703125" style="1225" hidden="1" customWidth="1"/>
    <col min="51" max="53" width="10" style="1225" hidden="1" customWidth="1"/>
    <col min="54" max="54" width="9.7109375" style="1225" hidden="1" customWidth="1"/>
    <col min="55" max="55" width="1.5703125" style="1225" customWidth="1"/>
    <col min="56" max="60" width="9.5703125" style="1225" customWidth="1"/>
    <col min="61" max="61" width="9.5703125" style="1225" hidden="1" customWidth="1"/>
    <col min="62" max="68" width="9.7109375" style="1225" hidden="1" customWidth="1"/>
    <col min="69" max="69" width="1.5703125" style="1225" customWidth="1"/>
    <col min="70" max="70" width="9.140625" style="1225"/>
    <col min="71" max="71" width="25.7109375" style="1180" bestFit="1" customWidth="1"/>
    <col min="72" max="72" width="14.140625" style="1180" bestFit="1" customWidth="1"/>
    <col min="73" max="73" width="12.85546875" style="1180" customWidth="1"/>
    <col min="74" max="74" width="11.42578125" style="1180" customWidth="1"/>
    <col min="75" max="16384" width="9.140625" style="1180"/>
  </cols>
  <sheetData>
    <row r="1" spans="1:76" ht="9" customHeight="1" x14ac:dyDescent="0.2"/>
    <row r="3" spans="1:76" x14ac:dyDescent="0.2">
      <c r="BD3" s="1390"/>
      <c r="BE3" s="1390"/>
      <c r="BF3" s="1390"/>
      <c r="BG3" s="1390"/>
    </row>
    <row r="4" spans="1:76" x14ac:dyDescent="0.2">
      <c r="BD4" s="1390"/>
      <c r="BE4" s="1390"/>
      <c r="BF4" s="1390"/>
      <c r="BG4" s="1390"/>
    </row>
    <row r="5" spans="1:76" ht="6.75" customHeight="1" x14ac:dyDescent="0.2">
      <c r="A5" s="1226"/>
      <c r="B5" s="1226"/>
      <c r="C5" s="1226"/>
      <c r="D5" s="1226"/>
      <c r="AO5" s="1226"/>
      <c r="AP5" s="1226"/>
      <c r="AQ5" s="1226"/>
      <c r="AY5" s="1390"/>
    </row>
    <row r="6" spans="1:76" ht="18" customHeight="1" x14ac:dyDescent="0.2">
      <c r="A6" s="1227" t="s">
        <v>356</v>
      </c>
      <c r="B6" s="1226"/>
      <c r="C6" s="1226"/>
      <c r="D6" s="1226"/>
      <c r="J6" s="1257"/>
      <c r="K6" s="1257"/>
      <c r="L6" s="1257"/>
      <c r="M6" s="1257"/>
      <c r="N6" s="1257"/>
      <c r="O6" s="1257"/>
      <c r="P6" s="1257"/>
      <c r="Q6" s="1257"/>
      <c r="R6" s="1257"/>
      <c r="S6" s="1257"/>
      <c r="T6" s="1257"/>
      <c r="U6" s="1257"/>
      <c r="V6" s="1257"/>
      <c r="W6" s="1257"/>
      <c r="X6" s="1257"/>
      <c r="Y6" s="1257"/>
      <c r="AO6" s="1226"/>
      <c r="AP6" s="1226"/>
      <c r="AQ6" s="1226"/>
      <c r="AY6" s="1390"/>
    </row>
    <row r="7" spans="1:76" ht="18" customHeight="1" x14ac:dyDescent="0.2">
      <c r="A7" s="1228" t="s">
        <v>294</v>
      </c>
      <c r="B7" s="966"/>
      <c r="C7" s="966"/>
      <c r="D7" s="966"/>
      <c r="E7" s="917"/>
      <c r="F7" s="917"/>
      <c r="G7" s="917"/>
      <c r="H7" s="917"/>
      <c r="I7" s="917"/>
      <c r="J7" s="966"/>
      <c r="K7" s="966"/>
      <c r="L7" s="996"/>
      <c r="M7" s="996"/>
      <c r="N7" s="966"/>
      <c r="O7" s="966"/>
      <c r="P7" s="996"/>
      <c r="Q7" s="996"/>
      <c r="R7" s="966"/>
      <c r="S7" s="966"/>
      <c r="T7" s="966"/>
      <c r="U7" s="966"/>
      <c r="V7" s="966"/>
      <c r="W7" s="966"/>
      <c r="X7" s="966"/>
      <c r="Y7" s="966"/>
      <c r="Z7" s="966"/>
      <c r="AA7" s="966"/>
      <c r="AB7" s="966"/>
      <c r="AC7" s="966"/>
      <c r="AD7" s="966"/>
      <c r="AE7" s="966"/>
      <c r="AF7" s="966"/>
      <c r="AG7" s="966"/>
      <c r="AH7" s="966"/>
      <c r="AI7" s="966"/>
      <c r="AJ7" s="966"/>
      <c r="AK7" s="966"/>
      <c r="AL7" s="966"/>
      <c r="AM7" s="966"/>
      <c r="AN7" s="966"/>
      <c r="AO7" s="1226"/>
      <c r="AP7" s="1226"/>
      <c r="AQ7" s="1226"/>
      <c r="AY7" s="2059"/>
    </row>
    <row r="8" spans="1:76" ht="15" x14ac:dyDescent="0.2">
      <c r="A8" s="967" t="s">
        <v>264</v>
      </c>
      <c r="B8" s="966"/>
      <c r="C8" s="966"/>
      <c r="D8" s="966"/>
      <c r="E8" s="917"/>
      <c r="F8" s="917"/>
      <c r="G8" s="917"/>
      <c r="H8" s="917"/>
      <c r="I8" s="917"/>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1226"/>
      <c r="AP8" s="1226"/>
      <c r="AQ8" s="1226"/>
    </row>
    <row r="9" spans="1:76" ht="9.75" customHeight="1" x14ac:dyDescent="0.2">
      <c r="A9" s="964"/>
      <c r="B9" s="964"/>
      <c r="C9" s="964"/>
      <c r="D9" s="964"/>
      <c r="E9" s="915"/>
      <c r="F9" s="915"/>
      <c r="G9" s="915"/>
      <c r="H9" s="915"/>
      <c r="I9" s="915"/>
      <c r="J9" s="999"/>
      <c r="K9" s="999"/>
      <c r="L9" s="999"/>
      <c r="M9" s="964"/>
      <c r="N9" s="999"/>
      <c r="O9" s="999"/>
      <c r="P9" s="999"/>
      <c r="Q9" s="964"/>
      <c r="R9" s="999"/>
      <c r="S9" s="999"/>
      <c r="T9" s="999"/>
      <c r="U9" s="964"/>
      <c r="V9" s="999"/>
      <c r="W9" s="999"/>
      <c r="X9" s="999"/>
      <c r="Y9" s="964"/>
      <c r="Z9" s="999"/>
      <c r="AA9" s="964"/>
      <c r="AB9" s="999"/>
      <c r="AC9" s="964"/>
      <c r="AD9" s="999"/>
      <c r="AE9" s="964"/>
      <c r="AF9" s="999"/>
      <c r="AG9" s="964"/>
      <c r="AH9" s="999"/>
      <c r="AI9" s="964"/>
      <c r="AJ9" s="999"/>
      <c r="AK9" s="964"/>
      <c r="AL9" s="999"/>
      <c r="AM9" s="964"/>
      <c r="AN9" s="964"/>
      <c r="AO9" s="1226"/>
      <c r="AP9" s="1226"/>
      <c r="AQ9" s="1226"/>
      <c r="BA9" s="1260"/>
      <c r="BB9" s="1260"/>
      <c r="BN9" s="1226"/>
      <c r="BO9" s="1226"/>
      <c r="BP9" s="1226"/>
    </row>
    <row r="10" spans="1:76" x14ac:dyDescent="0.2">
      <c r="A10" s="968" t="s">
        <v>1</v>
      </c>
      <c r="B10" s="969"/>
      <c r="C10" s="2455" t="s">
        <v>456</v>
      </c>
      <c r="D10" s="2456"/>
      <c r="E10" s="919"/>
      <c r="F10" s="921"/>
      <c r="G10" s="921"/>
      <c r="H10" s="921"/>
      <c r="I10" s="2280"/>
      <c r="J10" s="1000"/>
      <c r="K10" s="1000"/>
      <c r="L10" s="1000"/>
      <c r="M10" s="1261"/>
      <c r="N10" s="1000"/>
      <c r="O10" s="1000"/>
      <c r="P10" s="1000"/>
      <c r="Q10" s="1261"/>
      <c r="R10" s="1000"/>
      <c r="S10" s="1000"/>
      <c r="T10" s="1000"/>
      <c r="U10" s="1261"/>
      <c r="V10" s="1000"/>
      <c r="W10" s="1000"/>
      <c r="X10" s="1000"/>
      <c r="Y10" s="1261"/>
      <c r="Z10" s="1262"/>
      <c r="AA10" s="1263"/>
      <c r="AB10" s="1000"/>
      <c r="AC10" s="1261"/>
      <c r="AD10" s="1262"/>
      <c r="AE10" s="1263"/>
      <c r="AF10" s="1000"/>
      <c r="AG10" s="1261"/>
      <c r="AI10" s="1263"/>
      <c r="AJ10" s="964"/>
      <c r="AK10" s="1261"/>
      <c r="AL10" s="1263"/>
      <c r="AN10" s="1000"/>
      <c r="AO10" s="1261"/>
      <c r="AP10" s="1263"/>
      <c r="AQ10" s="1263"/>
      <c r="AR10" s="1263"/>
      <c r="AS10" s="1263"/>
      <c r="AT10" s="1264"/>
      <c r="AU10" s="1261"/>
      <c r="AV10" s="1261"/>
      <c r="AW10" s="1261"/>
      <c r="AX10" s="1265"/>
      <c r="AY10" s="1005" t="s">
        <v>448</v>
      </c>
      <c r="AZ10" s="1006"/>
      <c r="BA10" s="1006" t="s">
        <v>441</v>
      </c>
      <c r="BB10" s="1007"/>
      <c r="BC10" s="1008"/>
      <c r="BD10" s="1009"/>
      <c r="BE10" s="1009"/>
      <c r="BF10" s="1009"/>
      <c r="BG10" s="1009"/>
      <c r="BH10" s="1009"/>
      <c r="BI10" s="1009"/>
      <c r="BJ10" s="1009"/>
      <c r="BK10" s="1009"/>
      <c r="BL10" s="1262"/>
      <c r="BM10" s="1264"/>
      <c r="BN10" s="1009"/>
      <c r="BO10" s="2279"/>
      <c r="BP10" s="2278"/>
      <c r="BQ10" s="1266"/>
    </row>
    <row r="11" spans="1:76" ht="13.5" x14ac:dyDescent="0.2">
      <c r="A11" s="968" t="s">
        <v>2</v>
      </c>
      <c r="B11" s="969"/>
      <c r="C11" s="2457" t="s">
        <v>39</v>
      </c>
      <c r="D11" s="2490"/>
      <c r="E11" s="2000"/>
      <c r="F11" s="925" t="s">
        <v>452</v>
      </c>
      <c r="G11" s="925" t="s">
        <v>453</v>
      </c>
      <c r="H11" s="925" t="s">
        <v>454</v>
      </c>
      <c r="I11" s="2281" t="s">
        <v>455</v>
      </c>
      <c r="J11" s="1010" t="s">
        <v>399</v>
      </c>
      <c r="K11" s="1010" t="s">
        <v>398</v>
      </c>
      <c r="L11" s="1010" t="s">
        <v>397</v>
      </c>
      <c r="M11" s="1011" t="s">
        <v>395</v>
      </c>
      <c r="N11" s="1010" t="s">
        <v>373</v>
      </c>
      <c r="O11" s="1010" t="s">
        <v>374</v>
      </c>
      <c r="P11" s="1010" t="s">
        <v>375</v>
      </c>
      <c r="Q11" s="1011" t="s">
        <v>376</v>
      </c>
      <c r="R11" s="1010" t="s">
        <v>330</v>
      </c>
      <c r="S11" s="1010" t="s">
        <v>329</v>
      </c>
      <c r="T11" s="1010" t="s">
        <v>328</v>
      </c>
      <c r="U11" s="1011" t="s">
        <v>326</v>
      </c>
      <c r="V11" s="1010" t="s">
        <v>282</v>
      </c>
      <c r="W11" s="1010" t="s">
        <v>283</v>
      </c>
      <c r="X11" s="1010" t="s">
        <v>284</v>
      </c>
      <c r="Y11" s="1011" t="s">
        <v>285</v>
      </c>
      <c r="Z11" s="1012" t="s">
        <v>220</v>
      </c>
      <c r="AA11" s="1010" t="s">
        <v>221</v>
      </c>
      <c r="AB11" s="1010" t="s">
        <v>222</v>
      </c>
      <c r="AC11" s="1011" t="s">
        <v>219</v>
      </c>
      <c r="AD11" s="1012" t="s">
        <v>185</v>
      </c>
      <c r="AE11" s="1010" t="s">
        <v>186</v>
      </c>
      <c r="AF11" s="1010" t="s">
        <v>187</v>
      </c>
      <c r="AG11" s="1011" t="s">
        <v>188</v>
      </c>
      <c r="AH11" s="1010" t="s">
        <v>118</v>
      </c>
      <c r="AI11" s="1010" t="s">
        <v>117</v>
      </c>
      <c r="AJ11" s="1010" t="s">
        <v>116</v>
      </c>
      <c r="AK11" s="1011" t="s">
        <v>115</v>
      </c>
      <c r="AL11" s="1010" t="s">
        <v>83</v>
      </c>
      <c r="AM11" s="1010" t="s">
        <v>84</v>
      </c>
      <c r="AN11" s="1010" t="s">
        <v>85</v>
      </c>
      <c r="AO11" s="1011" t="s">
        <v>30</v>
      </c>
      <c r="AP11" s="1010" t="s">
        <v>31</v>
      </c>
      <c r="AQ11" s="1010" t="s">
        <v>32</v>
      </c>
      <c r="AR11" s="1010" t="s">
        <v>33</v>
      </c>
      <c r="AS11" s="1010" t="s">
        <v>34</v>
      </c>
      <c r="AT11" s="1013" t="s">
        <v>35</v>
      </c>
      <c r="AU11" s="1011" t="s">
        <v>36</v>
      </c>
      <c r="AV11" s="1011" t="s">
        <v>37</v>
      </c>
      <c r="AW11" s="1011" t="s">
        <v>38</v>
      </c>
      <c r="AX11" s="1014"/>
      <c r="AY11" s="1010" t="s">
        <v>399</v>
      </c>
      <c r="AZ11" s="1010" t="s">
        <v>373</v>
      </c>
      <c r="BA11" s="2453" t="s">
        <v>39</v>
      </c>
      <c r="BB11" s="2454"/>
      <c r="BC11" s="2271"/>
      <c r="BD11" s="1012" t="s">
        <v>438</v>
      </c>
      <c r="BE11" s="1012" t="s">
        <v>385</v>
      </c>
      <c r="BF11" s="1012" t="s">
        <v>332</v>
      </c>
      <c r="BG11" s="1012" t="s">
        <v>287</v>
      </c>
      <c r="BH11" s="1012" t="s">
        <v>224</v>
      </c>
      <c r="BI11" s="1012" t="s">
        <v>120</v>
      </c>
      <c r="BJ11" s="1012" t="s">
        <v>119</v>
      </c>
      <c r="BK11" s="1012" t="s">
        <v>43</v>
      </c>
      <c r="BL11" s="1012" t="s">
        <v>40</v>
      </c>
      <c r="BM11" s="1013" t="s">
        <v>41</v>
      </c>
      <c r="BN11" s="1013" t="s">
        <v>138</v>
      </c>
      <c r="BO11" s="1013" t="s">
        <v>139</v>
      </c>
      <c r="BP11" s="1012" t="s">
        <v>140</v>
      </c>
      <c r="BQ11" s="1266"/>
      <c r="BR11" s="1226"/>
      <c r="BS11" s="1181"/>
      <c r="BV11" s="1181"/>
      <c r="BW11" s="1181"/>
      <c r="BX11" s="1181"/>
    </row>
    <row r="12" spans="1:76" x14ac:dyDescent="0.2">
      <c r="A12" s="968"/>
      <c r="B12" s="969"/>
      <c r="C12" s="2006"/>
      <c r="D12" s="2056"/>
      <c r="E12" s="2000"/>
      <c r="F12" s="1186"/>
      <c r="G12" s="1186"/>
      <c r="H12" s="1186"/>
      <c r="I12" s="2282"/>
      <c r="J12" s="1268"/>
      <c r="K12" s="1268"/>
      <c r="L12" s="1268"/>
      <c r="M12" s="1269"/>
      <c r="N12" s="1268"/>
      <c r="O12" s="1268"/>
      <c r="P12" s="1268"/>
      <c r="Q12" s="1269"/>
      <c r="R12" s="1268"/>
      <c r="S12" s="1268"/>
      <c r="T12" s="1268"/>
      <c r="U12" s="1269"/>
      <c r="V12" s="1268"/>
      <c r="W12" s="1268"/>
      <c r="X12" s="1268"/>
      <c r="Y12" s="1269"/>
      <c r="Z12" s="1270"/>
      <c r="AA12" s="1268"/>
      <c r="AB12" s="1268"/>
      <c r="AC12" s="1269"/>
      <c r="AD12" s="1270"/>
      <c r="AE12" s="1268"/>
      <c r="AF12" s="1268"/>
      <c r="AG12" s="1269"/>
      <c r="AH12" s="1270"/>
      <c r="AI12" s="1268"/>
      <c r="AJ12" s="1268"/>
      <c r="AK12" s="1269"/>
      <c r="AL12" s="1008"/>
      <c r="AM12" s="1008"/>
      <c r="AN12" s="1008"/>
      <c r="AO12" s="1271"/>
      <c r="AP12" s="1008"/>
      <c r="AQ12" s="1008"/>
      <c r="AR12" s="1008"/>
      <c r="AS12" s="1008"/>
      <c r="AT12" s="1014"/>
      <c r="AU12" s="1271"/>
      <c r="AV12" s="1271"/>
      <c r="AW12" s="1271"/>
      <c r="AX12" s="1014"/>
      <c r="AY12" s="1270"/>
      <c r="AZ12" s="1268"/>
      <c r="BA12" s="1263"/>
      <c r="BB12" s="1261"/>
      <c r="BC12" s="2271"/>
      <c r="BD12" s="1270"/>
      <c r="BE12" s="1270"/>
      <c r="BF12" s="1270"/>
      <c r="BG12" s="1270"/>
      <c r="BH12" s="1270"/>
      <c r="BI12" s="1272"/>
      <c r="BJ12" s="1443" t="s">
        <v>241</v>
      </c>
      <c r="BK12" s="1443" t="s">
        <v>241</v>
      </c>
      <c r="BL12" s="1443" t="s">
        <v>241</v>
      </c>
      <c r="BM12" s="1444" t="s">
        <v>241</v>
      </c>
      <c r="BN12" s="1014"/>
      <c r="BO12" s="1014"/>
      <c r="BP12" s="2014"/>
      <c r="BQ12" s="1266"/>
      <c r="BR12" s="1226"/>
      <c r="BS12" s="1181"/>
      <c r="BV12" s="1181"/>
      <c r="BW12" s="1181"/>
      <c r="BX12" s="1181"/>
    </row>
    <row r="13" spans="1:76" ht="12.75" customHeight="1" x14ac:dyDescent="0.2">
      <c r="A13" s="970" t="s">
        <v>61</v>
      </c>
      <c r="B13" s="971"/>
      <c r="C13" s="1230"/>
      <c r="D13" s="1228"/>
      <c r="E13" s="1187"/>
      <c r="F13" s="1188"/>
      <c r="G13" s="1188"/>
      <c r="H13" s="1188"/>
      <c r="I13" s="1183"/>
      <c r="J13" s="1251"/>
      <c r="K13" s="1251"/>
      <c r="L13" s="1251"/>
      <c r="M13" s="1228"/>
      <c r="N13" s="1251"/>
      <c r="O13" s="1251"/>
      <c r="P13" s="1251"/>
      <c r="Q13" s="1228"/>
      <c r="R13" s="1251"/>
      <c r="S13" s="1251"/>
      <c r="T13" s="1251"/>
      <c r="U13" s="1228"/>
      <c r="V13" s="1251"/>
      <c r="W13" s="1251"/>
      <c r="X13" s="1251"/>
      <c r="Y13" s="1228"/>
      <c r="Z13" s="1251"/>
      <c r="AA13" s="1251"/>
      <c r="AB13" s="1251"/>
      <c r="AC13" s="1228"/>
      <c r="AD13" s="1251"/>
      <c r="AE13" s="1251"/>
      <c r="AF13" s="1251"/>
      <c r="AG13" s="1228"/>
      <c r="AH13" s="1251"/>
      <c r="AI13" s="1251"/>
      <c r="AJ13" s="1251"/>
      <c r="AK13" s="1228"/>
      <c r="AL13" s="1251"/>
      <c r="AM13" s="1251"/>
      <c r="AN13" s="1251"/>
      <c r="AO13" s="1228"/>
      <c r="AP13" s="1230"/>
      <c r="AQ13" s="1251"/>
      <c r="AR13" s="1251"/>
      <c r="AS13" s="1226"/>
      <c r="AT13" s="1265"/>
      <c r="AU13" s="2060"/>
      <c r="AV13" s="2060"/>
      <c r="AW13" s="2060"/>
      <c r="AX13" s="1274"/>
      <c r="AY13" s="1251"/>
      <c r="AZ13" s="1251"/>
      <c r="BA13" s="1251"/>
      <c r="BB13" s="1228"/>
      <c r="BC13" s="1251"/>
      <c r="BD13" s="1274"/>
      <c r="BE13" s="1274"/>
      <c r="BF13" s="1274"/>
      <c r="BG13" s="1274"/>
      <c r="BH13" s="1274"/>
      <c r="BI13" s="1274"/>
      <c r="BJ13" s="1274"/>
      <c r="BK13" s="1274"/>
      <c r="BL13" s="1230"/>
      <c r="BM13" s="1274"/>
      <c r="BN13" s="2061"/>
      <c r="BO13" s="2061"/>
      <c r="BP13" s="2062"/>
      <c r="BQ13" s="1266"/>
      <c r="BR13" s="1226"/>
      <c r="BS13" s="1181"/>
      <c r="BV13" s="1181"/>
    </row>
    <row r="14" spans="1:76" ht="12.75" customHeight="1" x14ac:dyDescent="0.2">
      <c r="A14" s="969"/>
      <c r="B14" s="1450" t="s">
        <v>86</v>
      </c>
      <c r="C14" s="979">
        <v>-1660</v>
      </c>
      <c r="D14" s="1056">
        <v>-5.4363844768298676E-2</v>
      </c>
      <c r="E14" s="937"/>
      <c r="F14" s="1190"/>
      <c r="G14" s="1190"/>
      <c r="H14" s="1190"/>
      <c r="I14" s="2283">
        <v>28875</v>
      </c>
      <c r="J14" s="1275">
        <v>25158</v>
      </c>
      <c r="K14" s="1275">
        <v>25267</v>
      </c>
      <c r="L14" s="1275">
        <v>25694</v>
      </c>
      <c r="M14" s="1276">
        <v>30535</v>
      </c>
      <c r="N14" s="1275">
        <v>32631</v>
      </c>
      <c r="O14" s="1275">
        <v>27990</v>
      </c>
      <c r="P14" s="1275">
        <v>31234</v>
      </c>
      <c r="Q14" s="1276">
        <v>32117</v>
      </c>
      <c r="R14" s="1275">
        <v>31474</v>
      </c>
      <c r="S14" s="1275">
        <v>27430</v>
      </c>
      <c r="T14" s="1275">
        <v>24056</v>
      </c>
      <c r="U14" s="1276">
        <v>26384</v>
      </c>
      <c r="V14" s="1275">
        <v>31741</v>
      </c>
      <c r="W14" s="1275">
        <v>34481</v>
      </c>
      <c r="X14" s="1275">
        <v>35280</v>
      </c>
      <c r="Y14" s="1276">
        <v>36123</v>
      </c>
      <c r="Z14" s="1275">
        <v>51747</v>
      </c>
      <c r="AA14" s="1275">
        <v>43765</v>
      </c>
      <c r="AB14" s="1275">
        <v>46616</v>
      </c>
      <c r="AC14" s="1276">
        <v>53600</v>
      </c>
      <c r="AD14" s="1275">
        <v>71218</v>
      </c>
      <c r="AE14" s="1275">
        <v>67044</v>
      </c>
      <c r="AF14" s="1275">
        <v>43529</v>
      </c>
      <c r="AG14" s="1276">
        <v>46307</v>
      </c>
      <c r="AH14" s="1275">
        <v>54086</v>
      </c>
      <c r="AI14" s="1275">
        <v>50900</v>
      </c>
      <c r="AJ14" s="1275">
        <v>39596</v>
      </c>
      <c r="AK14" s="1276">
        <v>39676</v>
      </c>
      <c r="AL14" s="1275">
        <v>36739</v>
      </c>
      <c r="AM14" s="1275">
        <v>33072</v>
      </c>
      <c r="AN14" s="1275">
        <v>43016</v>
      </c>
      <c r="AO14" s="1276">
        <v>56801</v>
      </c>
      <c r="AP14" s="1312">
        <v>53686</v>
      </c>
      <c r="AQ14" s="1277">
        <v>60447</v>
      </c>
      <c r="AR14" s="1277">
        <v>56588</v>
      </c>
      <c r="AS14" s="1278">
        <v>74990</v>
      </c>
      <c r="AT14" s="1279">
        <v>74727</v>
      </c>
      <c r="AU14" s="1278">
        <v>67907</v>
      </c>
      <c r="AV14" s="1278">
        <v>54960</v>
      </c>
      <c r="AW14" s="1278">
        <v>70996</v>
      </c>
      <c r="AX14" s="1274"/>
      <c r="AY14" s="1281">
        <v>106654</v>
      </c>
      <c r="AZ14" s="1281">
        <v>123972</v>
      </c>
      <c r="BA14" s="1025">
        <v>-17318</v>
      </c>
      <c r="BB14" s="1371">
        <v>-0.1396928338657116</v>
      </c>
      <c r="BC14" s="1235"/>
      <c r="BD14" s="1935">
        <v>106654</v>
      </c>
      <c r="BE14" s="1935">
        <v>123972</v>
      </c>
      <c r="BF14" s="1935">
        <v>109344</v>
      </c>
      <c r="BG14" s="1447">
        <v>137625</v>
      </c>
      <c r="BH14" s="1447">
        <v>195728</v>
      </c>
      <c r="BI14" s="1447">
        <v>228098</v>
      </c>
      <c r="BJ14" s="1447">
        <v>184258</v>
      </c>
      <c r="BK14" s="1447">
        <v>169628</v>
      </c>
      <c r="BL14" s="1447">
        <v>245711</v>
      </c>
      <c r="BM14" s="1447">
        <v>268590</v>
      </c>
      <c r="BN14" s="2063">
        <v>223925</v>
      </c>
      <c r="BO14" s="2063">
        <v>178176</v>
      </c>
      <c r="BP14" s="2063">
        <v>175983</v>
      </c>
      <c r="BQ14" s="1251"/>
      <c r="BS14" s="1181"/>
      <c r="BV14" s="1181"/>
    </row>
    <row r="15" spans="1:76" ht="12.75" customHeight="1" x14ac:dyDescent="0.2">
      <c r="A15" s="969"/>
      <c r="B15" s="1450" t="s">
        <v>197</v>
      </c>
      <c r="C15" s="979">
        <v>217</v>
      </c>
      <c r="D15" s="1056">
        <v>0.56955380577427817</v>
      </c>
      <c r="E15" s="937"/>
      <c r="F15" s="1190"/>
      <c r="G15" s="1190"/>
      <c r="H15" s="1190"/>
      <c r="I15" s="2283">
        <v>598</v>
      </c>
      <c r="J15" s="1275">
        <v>363</v>
      </c>
      <c r="K15" s="1275">
        <v>349</v>
      </c>
      <c r="L15" s="1275">
        <v>461</v>
      </c>
      <c r="M15" s="1276">
        <v>381</v>
      </c>
      <c r="N15" s="1275">
        <v>448</v>
      </c>
      <c r="O15" s="1275">
        <v>277</v>
      </c>
      <c r="P15" s="1275">
        <v>403</v>
      </c>
      <c r="Q15" s="1276">
        <v>239</v>
      </c>
      <c r="R15" s="1275">
        <v>542</v>
      </c>
      <c r="S15" s="1275">
        <v>289</v>
      </c>
      <c r="T15" s="1275">
        <v>357</v>
      </c>
      <c r="U15" s="1276">
        <v>458</v>
      </c>
      <c r="V15" s="1275">
        <v>482</v>
      </c>
      <c r="W15" s="1275">
        <v>570</v>
      </c>
      <c r="X15" s="1275">
        <v>534</v>
      </c>
      <c r="Y15" s="1276">
        <v>644</v>
      </c>
      <c r="Z15" s="1275">
        <v>790</v>
      </c>
      <c r="AA15" s="1275">
        <v>806</v>
      </c>
      <c r="AB15" s="1275">
        <v>796</v>
      </c>
      <c r="AC15" s="1276">
        <v>1183</v>
      </c>
      <c r="AD15" s="1275">
        <v>1486</v>
      </c>
      <c r="AE15" s="1275">
        <v>1555</v>
      </c>
      <c r="AF15" s="1275">
        <v>1010</v>
      </c>
      <c r="AG15" s="1276">
        <v>900</v>
      </c>
      <c r="AH15" s="1275">
        <v>904</v>
      </c>
      <c r="AI15" s="1275">
        <v>833</v>
      </c>
      <c r="AJ15" s="1275">
        <v>542</v>
      </c>
      <c r="AK15" s="1276">
        <v>509</v>
      </c>
      <c r="AL15" s="1275">
        <v>516</v>
      </c>
      <c r="AM15" s="1275">
        <v>460</v>
      </c>
      <c r="AN15" s="1275">
        <v>828</v>
      </c>
      <c r="AO15" s="1276">
        <v>1052</v>
      </c>
      <c r="AP15" s="1238">
        <v>777</v>
      </c>
      <c r="AQ15" s="1323">
        <v>719</v>
      </c>
      <c r="AR15" s="1323">
        <v>827</v>
      </c>
      <c r="AS15" s="1281">
        <v>1093</v>
      </c>
      <c r="AT15" s="1279">
        <v>1149</v>
      </c>
      <c r="AU15" s="1278">
        <v>924</v>
      </c>
      <c r="AV15" s="1278">
        <v>666</v>
      </c>
      <c r="AW15" s="1278">
        <v>1290</v>
      </c>
      <c r="AX15" s="1274"/>
      <c r="AY15" s="1281">
        <v>1554</v>
      </c>
      <c r="AZ15" s="1281">
        <v>1367</v>
      </c>
      <c r="BA15" s="1025">
        <v>187</v>
      </c>
      <c r="BB15" s="1371">
        <v>0.13679590343818582</v>
      </c>
      <c r="BC15" s="1235"/>
      <c r="BD15" s="1935">
        <v>1554</v>
      </c>
      <c r="BE15" s="1935">
        <v>1367</v>
      </c>
      <c r="BF15" s="1935">
        <v>1646</v>
      </c>
      <c r="BG15" s="1447">
        <v>2230</v>
      </c>
      <c r="BH15" s="1447">
        <v>3575</v>
      </c>
      <c r="BI15" s="1447">
        <v>4951</v>
      </c>
      <c r="BJ15" s="1447">
        <v>2788</v>
      </c>
      <c r="BK15" s="1447">
        <v>2856</v>
      </c>
      <c r="BL15" s="1447">
        <v>3416</v>
      </c>
      <c r="BM15" s="1447">
        <v>4029</v>
      </c>
      <c r="BN15" s="2063">
        <v>1269</v>
      </c>
      <c r="BO15" s="2063">
        <v>0</v>
      </c>
      <c r="BP15" s="2063">
        <v>0</v>
      </c>
      <c r="BQ15" s="1251"/>
      <c r="BS15" s="1181"/>
      <c r="BV15" s="1181"/>
    </row>
    <row r="16" spans="1:76" ht="12.75" customHeight="1" x14ac:dyDescent="0.2">
      <c r="A16" s="971"/>
      <c r="B16" s="969"/>
      <c r="C16" s="1231">
        <v>-1443</v>
      </c>
      <c r="D16" s="1232">
        <v>-4.6674860913442875E-2</v>
      </c>
      <c r="E16" s="937"/>
      <c r="F16" s="1194">
        <v>0</v>
      </c>
      <c r="G16" s="1194">
        <v>0</v>
      </c>
      <c r="H16" s="1194">
        <v>0</v>
      </c>
      <c r="I16" s="2286">
        <v>29473</v>
      </c>
      <c r="J16" s="1284">
        <v>25521</v>
      </c>
      <c r="K16" s="1284">
        <v>25616</v>
      </c>
      <c r="L16" s="1284">
        <v>26155</v>
      </c>
      <c r="M16" s="1286">
        <v>30916</v>
      </c>
      <c r="N16" s="1284">
        <v>33079</v>
      </c>
      <c r="O16" s="1284">
        <v>28267</v>
      </c>
      <c r="P16" s="1284">
        <v>31637</v>
      </c>
      <c r="Q16" s="1285">
        <v>32356</v>
      </c>
      <c r="R16" s="2064">
        <v>32016</v>
      </c>
      <c r="S16" s="1284">
        <v>27719</v>
      </c>
      <c r="T16" s="1284">
        <v>24413</v>
      </c>
      <c r="U16" s="1286">
        <v>26842</v>
      </c>
      <c r="V16" s="1284">
        <v>32223</v>
      </c>
      <c r="W16" s="1284">
        <v>35051</v>
      </c>
      <c r="X16" s="1284">
        <v>35814</v>
      </c>
      <c r="Y16" s="1286">
        <v>36767</v>
      </c>
      <c r="Z16" s="1284">
        <v>52537</v>
      </c>
      <c r="AA16" s="1284">
        <v>44571</v>
      </c>
      <c r="AB16" s="1284">
        <v>47412</v>
      </c>
      <c r="AC16" s="1286">
        <v>54783</v>
      </c>
      <c r="AD16" s="1284">
        <v>72704</v>
      </c>
      <c r="AE16" s="1284">
        <v>68599</v>
      </c>
      <c r="AF16" s="1284">
        <v>44539</v>
      </c>
      <c r="AG16" s="1286">
        <v>47207</v>
      </c>
      <c r="AH16" s="1284">
        <v>54990</v>
      </c>
      <c r="AI16" s="1284">
        <v>51733</v>
      </c>
      <c r="AJ16" s="1284">
        <v>40138</v>
      </c>
      <c r="AK16" s="1286">
        <v>40185</v>
      </c>
      <c r="AL16" s="1284">
        <v>37255</v>
      </c>
      <c r="AM16" s="1284">
        <v>33532</v>
      </c>
      <c r="AN16" s="1284">
        <v>43844</v>
      </c>
      <c r="AO16" s="1286">
        <v>57853</v>
      </c>
      <c r="AP16" s="1455">
        <v>54463</v>
      </c>
      <c r="AQ16" s="1315">
        <v>61166</v>
      </c>
      <c r="AR16" s="1315">
        <v>57415</v>
      </c>
      <c r="AS16" s="1315">
        <v>76083</v>
      </c>
      <c r="AT16" s="1291">
        <v>75876</v>
      </c>
      <c r="AU16" s="1286">
        <v>68831</v>
      </c>
      <c r="AV16" s="1286">
        <v>55626</v>
      </c>
      <c r="AW16" s="1286">
        <v>72286</v>
      </c>
      <c r="AX16" s="1274"/>
      <c r="AY16" s="2065">
        <v>108208</v>
      </c>
      <c r="AZ16" s="2065">
        <v>125339</v>
      </c>
      <c r="BA16" s="1475">
        <v>-17131</v>
      </c>
      <c r="BB16" s="1232">
        <v>-0.13667733107811614</v>
      </c>
      <c r="BC16" s="1235"/>
      <c r="BD16" s="2254">
        <v>108208</v>
      </c>
      <c r="BE16" s="1457">
        <v>125339</v>
      </c>
      <c r="BF16" s="1457">
        <v>110990</v>
      </c>
      <c r="BG16" s="1457">
        <v>139855</v>
      </c>
      <c r="BH16" s="1457">
        <v>199303</v>
      </c>
      <c r="BI16" s="1457">
        <v>233049</v>
      </c>
      <c r="BJ16" s="1457">
        <f t="shared" ref="BJ16:BK16" si="0">SUM(BJ14:BJ15)</f>
        <v>187046</v>
      </c>
      <c r="BK16" s="1457">
        <f t="shared" si="0"/>
        <v>172484</v>
      </c>
      <c r="BL16" s="1457">
        <v>249127</v>
      </c>
      <c r="BM16" s="1457">
        <v>272619</v>
      </c>
      <c r="BN16" s="2066">
        <v>225194</v>
      </c>
      <c r="BO16" s="2066">
        <v>178176</v>
      </c>
      <c r="BP16" s="2066">
        <v>175983</v>
      </c>
      <c r="BQ16" s="1251"/>
      <c r="BS16" s="1181"/>
      <c r="BV16" s="1181"/>
    </row>
    <row r="17" spans="1:74" ht="12.75" customHeight="1" x14ac:dyDescent="0.2">
      <c r="A17" s="970" t="s">
        <v>5</v>
      </c>
      <c r="B17" s="969"/>
      <c r="C17" s="979"/>
      <c r="D17" s="1056"/>
      <c r="E17" s="937"/>
      <c r="F17" s="1190"/>
      <c r="G17" s="1190"/>
      <c r="H17" s="1190"/>
      <c r="I17" s="2283"/>
      <c r="J17" s="1275"/>
      <c r="K17" s="1275"/>
      <c r="L17" s="1275"/>
      <c r="M17" s="1276"/>
      <c r="N17" s="1275"/>
      <c r="O17" s="1275"/>
      <c r="P17" s="1275"/>
      <c r="Q17" s="1276"/>
      <c r="R17" s="1275"/>
      <c r="S17" s="1275"/>
      <c r="T17" s="1275"/>
      <c r="U17" s="1276"/>
      <c r="V17" s="1275"/>
      <c r="W17" s="1275"/>
      <c r="X17" s="1275"/>
      <c r="Y17" s="1276"/>
      <c r="Z17" s="1275"/>
      <c r="AA17" s="1275"/>
      <c r="AB17" s="1275"/>
      <c r="AC17" s="1276"/>
      <c r="AD17" s="1275"/>
      <c r="AE17" s="1275"/>
      <c r="AF17" s="1275"/>
      <c r="AG17" s="1276"/>
      <c r="AH17" s="1275"/>
      <c r="AI17" s="1275"/>
      <c r="AJ17" s="1275"/>
      <c r="AK17" s="1276"/>
      <c r="AL17" s="1275"/>
      <c r="AM17" s="1275"/>
      <c r="AN17" s="1275"/>
      <c r="AO17" s="1276"/>
      <c r="AP17" s="1238"/>
      <c r="AQ17" s="1323"/>
      <c r="AR17" s="1323"/>
      <c r="AS17" s="1323"/>
      <c r="AT17" s="1282"/>
      <c r="AU17" s="1276"/>
      <c r="AV17" s="1276"/>
      <c r="AW17" s="1276"/>
      <c r="AX17" s="1274"/>
      <c r="AY17" s="1281"/>
      <c r="AZ17" s="1281">
        <v>0</v>
      </c>
      <c r="BA17" s="1025"/>
      <c r="BB17" s="1056"/>
      <c r="BC17" s="1235"/>
      <c r="BD17" s="1509"/>
      <c r="BE17" s="1509"/>
      <c r="BF17" s="1509"/>
      <c r="BG17" s="1509"/>
      <c r="BH17" s="1509"/>
      <c r="BI17" s="1509"/>
      <c r="BJ17" s="1509"/>
      <c r="BK17" s="1509"/>
      <c r="BL17" s="1447"/>
      <c r="BM17" s="1447"/>
      <c r="BN17" s="2063"/>
      <c r="BO17" s="2063"/>
      <c r="BP17" s="2063"/>
      <c r="BQ17" s="1251"/>
      <c r="BS17" s="1181"/>
      <c r="BV17" s="1181"/>
    </row>
    <row r="18" spans="1:74" ht="12.75" customHeight="1" x14ac:dyDescent="0.2">
      <c r="A18" s="970"/>
      <c r="B18" s="969" t="s">
        <v>304</v>
      </c>
      <c r="C18" s="979">
        <v>-1212</v>
      </c>
      <c r="D18" s="1056">
        <v>-7.6967041341207854E-2</v>
      </c>
      <c r="E18" s="937"/>
      <c r="F18" s="1190"/>
      <c r="G18" s="1190"/>
      <c r="H18" s="1190"/>
      <c r="I18" s="2283">
        <v>14535</v>
      </c>
      <c r="J18" s="1275">
        <v>11613</v>
      </c>
      <c r="K18" s="1275">
        <v>11831</v>
      </c>
      <c r="L18" s="1275">
        <v>12250</v>
      </c>
      <c r="M18" s="1276">
        <v>15747</v>
      </c>
      <c r="N18" s="1275">
        <v>16633</v>
      </c>
      <c r="O18" s="1275">
        <v>13690</v>
      </c>
      <c r="P18" s="1275">
        <v>15480</v>
      </c>
      <c r="Q18" s="1276">
        <v>16487</v>
      </c>
      <c r="R18" s="1275">
        <v>15508</v>
      </c>
      <c r="S18" s="1275">
        <v>13476</v>
      </c>
      <c r="T18" s="1275">
        <v>12048</v>
      </c>
      <c r="U18" s="1276">
        <v>12789</v>
      </c>
      <c r="V18" s="1275">
        <v>15948</v>
      </c>
      <c r="W18" s="1275">
        <v>16167</v>
      </c>
      <c r="X18" s="1275">
        <v>17541</v>
      </c>
      <c r="Y18" s="1276">
        <v>17968</v>
      </c>
      <c r="Z18" s="1275">
        <v>24803</v>
      </c>
      <c r="AA18" s="1275">
        <v>21369</v>
      </c>
      <c r="AB18" s="1275">
        <v>22217</v>
      </c>
      <c r="AC18" s="1276">
        <v>27227</v>
      </c>
      <c r="AD18" s="1275">
        <v>33880</v>
      </c>
      <c r="AE18" s="1275">
        <v>33144</v>
      </c>
      <c r="AF18" s="1275">
        <v>20664</v>
      </c>
      <c r="AG18" s="1276"/>
      <c r="AH18" s="1275"/>
      <c r="AI18" s="1275"/>
      <c r="AJ18" s="1275"/>
      <c r="AK18" s="1276"/>
      <c r="AL18" s="1275"/>
      <c r="AM18" s="1275"/>
      <c r="AN18" s="1275"/>
      <c r="AO18" s="1276"/>
      <c r="AP18" s="1238"/>
      <c r="AQ18" s="1323"/>
      <c r="AR18" s="1323"/>
      <c r="AS18" s="1323"/>
      <c r="AT18" s="1282"/>
      <c r="AU18" s="1276"/>
      <c r="AV18" s="1276"/>
      <c r="AW18" s="1276"/>
      <c r="AX18" s="1274"/>
      <c r="AY18" s="1281">
        <v>51441</v>
      </c>
      <c r="AZ18" s="1281">
        <v>62290</v>
      </c>
      <c r="BA18" s="1025">
        <v>-10849</v>
      </c>
      <c r="BB18" s="1056">
        <v>-0.17416920854069673</v>
      </c>
      <c r="BC18" s="1235"/>
      <c r="BD18" s="1935">
        <v>51441</v>
      </c>
      <c r="BE18" s="1935">
        <v>62290</v>
      </c>
      <c r="BF18" s="1935">
        <v>53821</v>
      </c>
      <c r="BG18" s="1447">
        <v>67624</v>
      </c>
      <c r="BH18" s="1447">
        <v>95616</v>
      </c>
      <c r="BI18" s="1447">
        <v>110021</v>
      </c>
      <c r="BJ18" s="1447">
        <v>83777</v>
      </c>
      <c r="BK18" s="1447">
        <v>74307</v>
      </c>
      <c r="BL18" s="1447">
        <v>111803</v>
      </c>
      <c r="BM18" s="1447"/>
      <c r="BN18" s="2063"/>
      <c r="BO18" s="2063"/>
      <c r="BP18" s="2063"/>
      <c r="BQ18" s="1251"/>
      <c r="BS18" s="1181"/>
      <c r="BV18" s="1181"/>
    </row>
    <row r="19" spans="1:74" ht="12.75" customHeight="1" x14ac:dyDescent="0.2">
      <c r="A19" s="970"/>
      <c r="B19" s="969" t="s">
        <v>305</v>
      </c>
      <c r="C19" s="1233">
        <v>101</v>
      </c>
      <c r="D19" s="1234">
        <v>1.6557377049180328</v>
      </c>
      <c r="E19" s="937"/>
      <c r="F19" s="1197"/>
      <c r="G19" s="1197"/>
      <c r="H19" s="1197"/>
      <c r="I19" s="2392">
        <v>162</v>
      </c>
      <c r="J19" s="1298">
        <v>40</v>
      </c>
      <c r="K19" s="1298">
        <v>88</v>
      </c>
      <c r="L19" s="1298">
        <v>77</v>
      </c>
      <c r="M19" s="1299">
        <v>61</v>
      </c>
      <c r="N19" s="1300">
        <v>-266</v>
      </c>
      <c r="O19" s="1298">
        <v>290</v>
      </c>
      <c r="P19" s="1298">
        <v>229</v>
      </c>
      <c r="Q19" s="1299">
        <v>270</v>
      </c>
      <c r="R19" s="1298">
        <v>1250</v>
      </c>
      <c r="S19" s="1298">
        <v>598</v>
      </c>
      <c r="T19" s="1298">
        <v>557</v>
      </c>
      <c r="U19" s="1299">
        <v>295</v>
      </c>
      <c r="V19" s="1298">
        <v>1365</v>
      </c>
      <c r="W19" s="1298">
        <v>2014</v>
      </c>
      <c r="X19" s="1298">
        <v>2256</v>
      </c>
      <c r="Y19" s="1299">
        <v>1064</v>
      </c>
      <c r="Z19" s="1298">
        <v>1048</v>
      </c>
      <c r="AA19" s="1298">
        <v>1175</v>
      </c>
      <c r="AB19" s="1298">
        <v>1559</v>
      </c>
      <c r="AC19" s="1299">
        <v>999</v>
      </c>
      <c r="AD19" s="1298">
        <v>1641</v>
      </c>
      <c r="AE19" s="1298">
        <v>2757</v>
      </c>
      <c r="AF19" s="1298">
        <v>897</v>
      </c>
      <c r="AG19" s="1276"/>
      <c r="AH19" s="1275"/>
      <c r="AI19" s="1275"/>
      <c r="AJ19" s="1275"/>
      <c r="AK19" s="1276"/>
      <c r="AL19" s="1275"/>
      <c r="AM19" s="1275"/>
      <c r="AN19" s="1275"/>
      <c r="AO19" s="1276"/>
      <c r="AP19" s="1238"/>
      <c r="AQ19" s="1323"/>
      <c r="AR19" s="1323"/>
      <c r="AS19" s="1323"/>
      <c r="AT19" s="1282"/>
      <c r="AU19" s="1276"/>
      <c r="AV19" s="1276"/>
      <c r="AW19" s="1276"/>
      <c r="AX19" s="1274"/>
      <c r="AY19" s="1304">
        <v>266</v>
      </c>
      <c r="AZ19" s="1304">
        <v>523</v>
      </c>
      <c r="BA19" s="1375">
        <v>-257</v>
      </c>
      <c r="BB19" s="1234">
        <v>-0.491395793499044</v>
      </c>
      <c r="BC19" s="1235"/>
      <c r="BD19" s="2067">
        <v>266</v>
      </c>
      <c r="BE19" s="2067">
        <v>523</v>
      </c>
      <c r="BF19" s="2067">
        <v>2700</v>
      </c>
      <c r="BG19" s="1451">
        <v>6699</v>
      </c>
      <c r="BH19" s="1451">
        <v>4781</v>
      </c>
      <c r="BI19" s="1451">
        <v>6243</v>
      </c>
      <c r="BJ19" s="1451">
        <v>4813</v>
      </c>
      <c r="BK19" s="1451">
        <v>76</v>
      </c>
      <c r="BL19" s="1451">
        <v>3837</v>
      </c>
      <c r="BM19" s="1447"/>
      <c r="BN19" s="2063"/>
      <c r="BO19" s="2063"/>
      <c r="BP19" s="2063"/>
      <c r="BQ19" s="1251"/>
      <c r="BS19" s="1181"/>
      <c r="BV19" s="1181"/>
    </row>
    <row r="20" spans="1:74" ht="12.75" customHeight="1" x14ac:dyDescent="0.2">
      <c r="A20" s="971"/>
      <c r="B20" s="1235" t="s">
        <v>208</v>
      </c>
      <c r="C20" s="979">
        <v>-1111</v>
      </c>
      <c r="D20" s="1056">
        <v>-7.0280870445344132E-2</v>
      </c>
      <c r="E20" s="937"/>
      <c r="F20" s="1190">
        <v>0</v>
      </c>
      <c r="G20" s="1190">
        <v>0</v>
      </c>
      <c r="H20" s="1190">
        <v>0</v>
      </c>
      <c r="I20" s="1200">
        <v>14697</v>
      </c>
      <c r="J20" s="1275">
        <v>11653</v>
      </c>
      <c r="K20" s="1275">
        <v>11919</v>
      </c>
      <c r="L20" s="1275">
        <v>12327</v>
      </c>
      <c r="M20" s="1306">
        <v>15808</v>
      </c>
      <c r="N20" s="1275">
        <v>16367</v>
      </c>
      <c r="O20" s="1275">
        <v>13980</v>
      </c>
      <c r="P20" s="1275">
        <v>15709</v>
      </c>
      <c r="Q20" s="1306">
        <v>16757</v>
      </c>
      <c r="R20" s="1275">
        <v>16758</v>
      </c>
      <c r="S20" s="1275">
        <v>14074</v>
      </c>
      <c r="T20" s="1275">
        <v>12605</v>
      </c>
      <c r="U20" s="1276">
        <v>13084</v>
      </c>
      <c r="V20" s="1275">
        <v>17313</v>
      </c>
      <c r="W20" s="1275">
        <v>18181</v>
      </c>
      <c r="X20" s="1275">
        <v>19797</v>
      </c>
      <c r="Y20" s="1276">
        <v>19032</v>
      </c>
      <c r="Z20" s="1275">
        <v>25851</v>
      </c>
      <c r="AA20" s="1275">
        <v>22544</v>
      </c>
      <c r="AB20" s="1275">
        <v>23776</v>
      </c>
      <c r="AC20" s="1276">
        <v>28226</v>
      </c>
      <c r="AD20" s="1275">
        <v>35521</v>
      </c>
      <c r="AE20" s="1275">
        <v>35901</v>
      </c>
      <c r="AF20" s="1275">
        <v>21561</v>
      </c>
      <c r="AG20" s="1276">
        <v>23281</v>
      </c>
      <c r="AH20" s="1275">
        <v>26203</v>
      </c>
      <c r="AI20" s="1275">
        <v>24376</v>
      </c>
      <c r="AJ20" s="1275">
        <v>19368</v>
      </c>
      <c r="AK20" s="1276">
        <v>18643</v>
      </c>
      <c r="AL20" s="1275">
        <v>13122</v>
      </c>
      <c r="AM20" s="1275">
        <v>14195</v>
      </c>
      <c r="AN20" s="1275">
        <v>20116</v>
      </c>
      <c r="AO20" s="1276">
        <v>26950</v>
      </c>
      <c r="AP20" s="1238">
        <v>24166</v>
      </c>
      <c r="AQ20" s="1323">
        <v>28443</v>
      </c>
      <c r="AR20" s="1323">
        <v>25351</v>
      </c>
      <c r="AS20" s="1323">
        <v>37680</v>
      </c>
      <c r="AT20" s="1282">
        <v>36567</v>
      </c>
      <c r="AU20" s="1276">
        <v>31848</v>
      </c>
      <c r="AV20" s="1276">
        <v>24885</v>
      </c>
      <c r="AW20" s="1276">
        <v>33368</v>
      </c>
      <c r="AX20" s="1274"/>
      <c r="AY20" s="1281">
        <v>51707</v>
      </c>
      <c r="AZ20" s="1281">
        <v>62813</v>
      </c>
      <c r="BA20" s="1025">
        <v>-11106</v>
      </c>
      <c r="BB20" s="1056">
        <v>-0.1768105328514798</v>
      </c>
      <c r="BC20" s="1235"/>
      <c r="BD20" s="1312">
        <v>51707</v>
      </c>
      <c r="BE20" s="1447">
        <v>62813</v>
      </c>
      <c r="BF20" s="1447">
        <v>56521</v>
      </c>
      <c r="BG20" s="1447">
        <v>74323</v>
      </c>
      <c r="BH20" s="1447">
        <v>100397</v>
      </c>
      <c r="BI20" s="1447">
        <v>116264</v>
      </c>
      <c r="BJ20" s="1447">
        <v>88590</v>
      </c>
      <c r="BK20" s="1447">
        <v>74383</v>
      </c>
      <c r="BL20" s="1447">
        <v>115640</v>
      </c>
      <c r="BM20" s="1447">
        <v>126668</v>
      </c>
      <c r="BN20" s="2063">
        <v>105283</v>
      </c>
      <c r="BO20" s="2063">
        <v>84396</v>
      </c>
      <c r="BP20" s="2063">
        <v>82758</v>
      </c>
      <c r="BQ20" s="1251"/>
      <c r="BS20" s="1182"/>
      <c r="BV20" s="1181"/>
    </row>
    <row r="21" spans="1:74" ht="12.75" customHeight="1" x14ac:dyDescent="0.2">
      <c r="A21" s="971"/>
      <c r="B21" s="1450" t="s">
        <v>66</v>
      </c>
      <c r="C21" s="979">
        <v>143</v>
      </c>
      <c r="D21" s="1056">
        <v>4.893908281998631E-2</v>
      </c>
      <c r="E21" s="937"/>
      <c r="F21" s="1190"/>
      <c r="G21" s="1190"/>
      <c r="H21" s="1190"/>
      <c r="I21" s="2283">
        <v>3065</v>
      </c>
      <c r="J21" s="1275">
        <v>3265</v>
      </c>
      <c r="K21" s="1275">
        <v>2727</v>
      </c>
      <c r="L21" s="1275">
        <v>2738</v>
      </c>
      <c r="M21" s="1276">
        <v>2922</v>
      </c>
      <c r="N21" s="1275">
        <v>3473</v>
      </c>
      <c r="O21" s="1275">
        <v>2565</v>
      </c>
      <c r="P21" s="1275">
        <v>2887</v>
      </c>
      <c r="Q21" s="1276">
        <v>3263</v>
      </c>
      <c r="R21" s="1275">
        <v>3987</v>
      </c>
      <c r="S21" s="1275">
        <v>2854</v>
      </c>
      <c r="T21" s="1275">
        <v>2644</v>
      </c>
      <c r="U21" s="1276">
        <v>3775</v>
      </c>
      <c r="V21" s="1275">
        <v>3521</v>
      </c>
      <c r="W21" s="1275">
        <v>3216</v>
      </c>
      <c r="X21" s="1275">
        <v>3404</v>
      </c>
      <c r="Y21" s="1276">
        <v>3704</v>
      </c>
      <c r="Z21" s="1275">
        <v>4557</v>
      </c>
      <c r="AA21" s="1275">
        <v>3437</v>
      </c>
      <c r="AB21" s="1275">
        <v>3327</v>
      </c>
      <c r="AC21" s="1276">
        <v>3938</v>
      </c>
      <c r="AD21" s="1275">
        <v>5565</v>
      </c>
      <c r="AE21" s="1275">
        <v>3601</v>
      </c>
      <c r="AF21" s="1275">
        <v>4817</v>
      </c>
      <c r="AG21" s="1276">
        <v>3882</v>
      </c>
      <c r="AH21" s="1275">
        <v>5573</v>
      </c>
      <c r="AI21" s="1275">
        <v>4015</v>
      </c>
      <c r="AJ21" s="1275">
        <v>4360</v>
      </c>
      <c r="AK21" s="1276">
        <v>4246</v>
      </c>
      <c r="AL21" s="1275">
        <v>4505</v>
      </c>
      <c r="AM21" s="1275">
        <v>3057</v>
      </c>
      <c r="AN21" s="1275">
        <v>3477</v>
      </c>
      <c r="AO21" s="1276">
        <v>3781</v>
      </c>
      <c r="AP21" s="1238">
        <v>4683</v>
      </c>
      <c r="AQ21" s="1323">
        <v>3272</v>
      </c>
      <c r="AR21" s="1323">
        <v>3510</v>
      </c>
      <c r="AS21" s="1323">
        <v>4049</v>
      </c>
      <c r="AT21" s="1282">
        <v>4303</v>
      </c>
      <c r="AU21" s="1276">
        <v>3039</v>
      </c>
      <c r="AV21" s="1276">
        <v>2854</v>
      </c>
      <c r="AW21" s="1276">
        <v>3430</v>
      </c>
      <c r="AX21" s="1274"/>
      <c r="AY21" s="1281">
        <v>11652</v>
      </c>
      <c r="AZ21" s="1281">
        <v>12188</v>
      </c>
      <c r="BA21" s="1025">
        <v>-536</v>
      </c>
      <c r="BB21" s="1056">
        <v>-4.3977682966852644E-2</v>
      </c>
      <c r="BC21" s="1235"/>
      <c r="BD21" s="1935">
        <v>11652</v>
      </c>
      <c r="BE21" s="1935">
        <v>12188</v>
      </c>
      <c r="BF21" s="1935">
        <v>13260</v>
      </c>
      <c r="BG21" s="1447">
        <v>13845</v>
      </c>
      <c r="BH21" s="1447">
        <v>15259</v>
      </c>
      <c r="BI21" s="1447">
        <v>17865</v>
      </c>
      <c r="BJ21" s="1447">
        <v>18194</v>
      </c>
      <c r="BK21" s="1447">
        <v>14820</v>
      </c>
      <c r="BL21" s="1447">
        <v>15514</v>
      </c>
      <c r="BM21" s="1447">
        <v>13626</v>
      </c>
      <c r="BN21" s="2063">
        <v>13053</v>
      </c>
      <c r="BO21" s="2063">
        <v>11158</v>
      </c>
      <c r="BP21" s="2063">
        <v>10157</v>
      </c>
      <c r="BQ21" s="1251"/>
      <c r="BS21" s="1182"/>
      <c r="BV21" s="1181"/>
    </row>
    <row r="22" spans="1:74" ht="12.75" customHeight="1" x14ac:dyDescent="0.2">
      <c r="A22" s="971"/>
      <c r="B22" s="1450" t="s">
        <v>67</v>
      </c>
      <c r="C22" s="979">
        <v>592</v>
      </c>
      <c r="D22" s="1056">
        <v>0.24114052953156823</v>
      </c>
      <c r="E22" s="937"/>
      <c r="F22" s="1190"/>
      <c r="G22" s="1190"/>
      <c r="H22" s="1190"/>
      <c r="I22" s="2283">
        <v>3047</v>
      </c>
      <c r="J22" s="1275">
        <v>3197</v>
      </c>
      <c r="K22" s="1275">
        <v>3015</v>
      </c>
      <c r="L22" s="1275">
        <v>2484</v>
      </c>
      <c r="M22" s="1276">
        <v>2455</v>
      </c>
      <c r="N22" s="1275">
        <v>3137</v>
      </c>
      <c r="O22" s="1275">
        <v>3426</v>
      </c>
      <c r="P22" s="1275">
        <v>2857</v>
      </c>
      <c r="Q22" s="1276">
        <v>3080</v>
      </c>
      <c r="R22" s="1275">
        <v>3794</v>
      </c>
      <c r="S22" s="1275">
        <v>3423</v>
      </c>
      <c r="T22" s="1275">
        <v>3657</v>
      </c>
      <c r="U22" s="1276">
        <v>3089</v>
      </c>
      <c r="V22" s="1275">
        <v>1242</v>
      </c>
      <c r="W22" s="1275">
        <v>1421</v>
      </c>
      <c r="X22" s="1275">
        <v>1222</v>
      </c>
      <c r="Y22" s="1276">
        <v>1552</v>
      </c>
      <c r="Z22" s="1275">
        <v>1546</v>
      </c>
      <c r="AA22" s="1275">
        <v>1859</v>
      </c>
      <c r="AB22" s="1275">
        <v>1709</v>
      </c>
      <c r="AC22" s="1276">
        <v>2183</v>
      </c>
      <c r="AD22" s="1275">
        <v>2253</v>
      </c>
      <c r="AE22" s="1275">
        <v>2017</v>
      </c>
      <c r="AF22" s="1275">
        <v>1577</v>
      </c>
      <c r="AG22" s="1276">
        <v>2224</v>
      </c>
      <c r="AH22" s="1275">
        <v>2320</v>
      </c>
      <c r="AI22" s="1275">
        <v>1910</v>
      </c>
      <c r="AJ22" s="1275">
        <v>2120</v>
      </c>
      <c r="AK22" s="1276">
        <v>2156</v>
      </c>
      <c r="AL22" s="1275">
        <v>1697</v>
      </c>
      <c r="AM22" s="1275">
        <v>1856</v>
      </c>
      <c r="AN22" s="1275">
        <v>1606</v>
      </c>
      <c r="AO22" s="1276">
        <v>1849</v>
      </c>
      <c r="AP22" s="1238">
        <v>1694</v>
      </c>
      <c r="AQ22" s="1323">
        <v>2331</v>
      </c>
      <c r="AR22" s="1323">
        <v>2158</v>
      </c>
      <c r="AS22" s="1323">
        <v>2399</v>
      </c>
      <c r="AT22" s="1282">
        <v>2477</v>
      </c>
      <c r="AU22" s="1276">
        <v>2338</v>
      </c>
      <c r="AV22" s="1276">
        <v>2276</v>
      </c>
      <c r="AW22" s="1276">
        <v>3066</v>
      </c>
      <c r="AX22" s="1274"/>
      <c r="AY22" s="1281">
        <v>11151</v>
      </c>
      <c r="AZ22" s="1281">
        <v>12500</v>
      </c>
      <c r="BA22" s="1025">
        <v>-1349</v>
      </c>
      <c r="BB22" s="1056">
        <v>-0.10792</v>
      </c>
      <c r="BC22" s="1235"/>
      <c r="BD22" s="1935">
        <v>11151</v>
      </c>
      <c r="BE22" s="1935">
        <v>12500</v>
      </c>
      <c r="BF22" s="1935">
        <v>13963</v>
      </c>
      <c r="BG22" s="1447">
        <v>5437</v>
      </c>
      <c r="BH22" s="1447">
        <v>7297</v>
      </c>
      <c r="BI22" s="1447">
        <v>8071</v>
      </c>
      <c r="BJ22" s="1447">
        <v>8506</v>
      </c>
      <c r="BK22" s="1447">
        <v>7008</v>
      </c>
      <c r="BL22" s="1447">
        <v>8582</v>
      </c>
      <c r="BM22" s="1447">
        <v>10157</v>
      </c>
      <c r="BN22" s="2063">
        <v>9013</v>
      </c>
      <c r="BO22" s="2063">
        <v>8802</v>
      </c>
      <c r="BP22" s="2063">
        <v>1308</v>
      </c>
      <c r="BQ22" s="1251"/>
      <c r="BS22" s="1182"/>
      <c r="BV22" s="1181"/>
    </row>
    <row r="23" spans="1:74" ht="12.75" customHeight="1" x14ac:dyDescent="0.2">
      <c r="A23" s="971"/>
      <c r="B23" s="1450" t="s">
        <v>68</v>
      </c>
      <c r="C23" s="979">
        <v>268</v>
      </c>
      <c r="D23" s="1056">
        <v>0.24564619615032079</v>
      </c>
      <c r="E23" s="937"/>
      <c r="F23" s="1190"/>
      <c r="G23" s="1190"/>
      <c r="H23" s="1190"/>
      <c r="I23" s="2283">
        <v>1359</v>
      </c>
      <c r="J23" s="1275">
        <v>1275</v>
      </c>
      <c r="K23" s="1275">
        <v>1138</v>
      </c>
      <c r="L23" s="1275">
        <v>1142</v>
      </c>
      <c r="M23" s="1276">
        <v>1091</v>
      </c>
      <c r="N23" s="1275">
        <v>1207</v>
      </c>
      <c r="O23" s="1275">
        <v>1403</v>
      </c>
      <c r="P23" s="1275">
        <v>1500</v>
      </c>
      <c r="Q23" s="1276">
        <v>1490</v>
      </c>
      <c r="R23" s="1275">
        <v>1306</v>
      </c>
      <c r="S23" s="1275">
        <v>1398</v>
      </c>
      <c r="T23" s="1275">
        <v>1381</v>
      </c>
      <c r="U23" s="1276">
        <v>1444</v>
      </c>
      <c r="V23" s="1275">
        <v>1386</v>
      </c>
      <c r="W23" s="1275">
        <v>1292</v>
      </c>
      <c r="X23" s="1275">
        <v>1834</v>
      </c>
      <c r="Y23" s="1276">
        <v>1891</v>
      </c>
      <c r="Z23" s="1275">
        <v>1822</v>
      </c>
      <c r="AA23" s="1275">
        <v>1838</v>
      </c>
      <c r="AB23" s="1275">
        <v>1881</v>
      </c>
      <c r="AC23" s="1276">
        <v>1852</v>
      </c>
      <c r="AD23" s="1275">
        <v>2030</v>
      </c>
      <c r="AE23" s="1275">
        <v>1993</v>
      </c>
      <c r="AF23" s="1275">
        <v>2068</v>
      </c>
      <c r="AG23" s="1276">
        <v>1948</v>
      </c>
      <c r="AH23" s="1275">
        <v>2016</v>
      </c>
      <c r="AI23" s="1275">
        <v>2074</v>
      </c>
      <c r="AJ23" s="1275">
        <v>2075</v>
      </c>
      <c r="AK23" s="1276">
        <v>1951</v>
      </c>
      <c r="AL23" s="1275">
        <v>1822</v>
      </c>
      <c r="AM23" s="1275">
        <v>1632</v>
      </c>
      <c r="AN23" s="1275">
        <v>1702</v>
      </c>
      <c r="AO23" s="1276">
        <v>1632</v>
      </c>
      <c r="AP23" s="1238">
        <v>1630</v>
      </c>
      <c r="AQ23" s="1323">
        <v>1605</v>
      </c>
      <c r="AR23" s="1323">
        <v>1605</v>
      </c>
      <c r="AS23" s="1323">
        <v>1535</v>
      </c>
      <c r="AT23" s="1282">
        <v>1555</v>
      </c>
      <c r="AU23" s="1276">
        <v>1528</v>
      </c>
      <c r="AV23" s="1276">
        <v>1534</v>
      </c>
      <c r="AW23" s="1276">
        <v>1536</v>
      </c>
      <c r="AX23" s="1274"/>
      <c r="AY23" s="1281">
        <v>4646</v>
      </c>
      <c r="AZ23" s="1281">
        <v>5600</v>
      </c>
      <c r="BA23" s="1025">
        <v>-954</v>
      </c>
      <c r="BB23" s="1056">
        <v>-0.17035714285714285</v>
      </c>
      <c r="BC23" s="1235"/>
      <c r="BD23" s="1935">
        <v>4646</v>
      </c>
      <c r="BE23" s="1935">
        <v>5600</v>
      </c>
      <c r="BF23" s="1935">
        <v>5529</v>
      </c>
      <c r="BG23" s="1447">
        <v>6403</v>
      </c>
      <c r="BH23" s="1447">
        <v>7393</v>
      </c>
      <c r="BI23" s="1447">
        <v>8039</v>
      </c>
      <c r="BJ23" s="1447">
        <v>8116</v>
      </c>
      <c r="BK23" s="1447">
        <v>6788</v>
      </c>
      <c r="BL23" s="1447">
        <v>6375</v>
      </c>
      <c r="BM23" s="1447">
        <v>6153</v>
      </c>
      <c r="BN23" s="2063">
        <v>5464</v>
      </c>
      <c r="BO23" s="2063">
        <v>4653</v>
      </c>
      <c r="BP23" s="2063">
        <v>4742</v>
      </c>
      <c r="BQ23" s="1251"/>
      <c r="BS23" s="1182"/>
      <c r="BV23" s="1181"/>
    </row>
    <row r="24" spans="1:74" ht="12.75" customHeight="1" x14ac:dyDescent="0.2">
      <c r="A24" s="971"/>
      <c r="B24" s="1450" t="s">
        <v>69</v>
      </c>
      <c r="C24" s="979">
        <v>-407</v>
      </c>
      <c r="D24" s="1056">
        <v>-0.33803986710963457</v>
      </c>
      <c r="E24" s="937"/>
      <c r="F24" s="1190"/>
      <c r="G24" s="1190"/>
      <c r="H24" s="1190"/>
      <c r="I24" s="2283">
        <v>797</v>
      </c>
      <c r="J24" s="1275">
        <v>1196</v>
      </c>
      <c r="K24" s="1275">
        <v>1278</v>
      </c>
      <c r="L24" s="1275">
        <v>995</v>
      </c>
      <c r="M24" s="1276">
        <v>1204</v>
      </c>
      <c r="N24" s="1275">
        <v>1272</v>
      </c>
      <c r="O24" s="1275">
        <v>1346</v>
      </c>
      <c r="P24" s="1275">
        <v>1220</v>
      </c>
      <c r="Q24" s="1276">
        <v>1042</v>
      </c>
      <c r="R24" s="1275">
        <v>1406</v>
      </c>
      <c r="S24" s="1275">
        <v>1406</v>
      </c>
      <c r="T24" s="1275">
        <v>1339</v>
      </c>
      <c r="U24" s="1276">
        <v>1354</v>
      </c>
      <c r="V24" s="1275">
        <v>1437</v>
      </c>
      <c r="W24" s="1275">
        <v>1332</v>
      </c>
      <c r="X24" s="1275">
        <v>1485</v>
      </c>
      <c r="Y24" s="1276">
        <v>1367</v>
      </c>
      <c r="Z24" s="1275">
        <v>1477</v>
      </c>
      <c r="AA24" s="1275">
        <v>1288</v>
      </c>
      <c r="AB24" s="1275">
        <v>1390</v>
      </c>
      <c r="AC24" s="1276">
        <v>1277</v>
      </c>
      <c r="AD24" s="1275">
        <v>1256</v>
      </c>
      <c r="AE24" s="1275">
        <v>1264</v>
      </c>
      <c r="AF24" s="1275">
        <v>1329</v>
      </c>
      <c r="AG24" s="1276">
        <v>1325</v>
      </c>
      <c r="AH24" s="1275">
        <v>1426</v>
      </c>
      <c r="AI24" s="1275">
        <v>1660</v>
      </c>
      <c r="AJ24" s="1275">
        <v>1494</v>
      </c>
      <c r="AK24" s="1276">
        <v>1536</v>
      </c>
      <c r="AL24" s="1275">
        <v>1630</v>
      </c>
      <c r="AM24" s="1275">
        <v>1590</v>
      </c>
      <c r="AN24" s="1275">
        <v>1556</v>
      </c>
      <c r="AO24" s="1276">
        <v>1639</v>
      </c>
      <c r="AP24" s="1238">
        <v>1596</v>
      </c>
      <c r="AQ24" s="1323">
        <v>1544</v>
      </c>
      <c r="AR24" s="1323">
        <v>1573</v>
      </c>
      <c r="AS24" s="1323">
        <v>1670</v>
      </c>
      <c r="AT24" s="1282">
        <v>1639</v>
      </c>
      <c r="AU24" s="1276">
        <v>1526</v>
      </c>
      <c r="AV24" s="1276">
        <v>1571</v>
      </c>
      <c r="AW24" s="1276">
        <v>1602</v>
      </c>
      <c r="AX24" s="1274"/>
      <c r="AY24" s="1281">
        <v>4673</v>
      </c>
      <c r="AZ24" s="1281">
        <v>4880</v>
      </c>
      <c r="BA24" s="1025">
        <v>-207</v>
      </c>
      <c r="BB24" s="1056">
        <v>-4.2418032786885246E-2</v>
      </c>
      <c r="BC24" s="1235"/>
      <c r="BD24" s="1935">
        <v>4673</v>
      </c>
      <c r="BE24" s="1935">
        <v>4880</v>
      </c>
      <c r="BF24" s="1935">
        <v>5505</v>
      </c>
      <c r="BG24" s="1447">
        <v>5621</v>
      </c>
      <c r="BH24" s="1447">
        <v>5432</v>
      </c>
      <c r="BI24" s="1447">
        <v>5174</v>
      </c>
      <c r="BJ24" s="1447">
        <v>6116</v>
      </c>
      <c r="BK24" s="1447">
        <v>6415</v>
      </c>
      <c r="BL24" s="1447">
        <v>6383</v>
      </c>
      <c r="BM24" s="1447">
        <v>6338</v>
      </c>
      <c r="BN24" s="2063">
        <v>6066</v>
      </c>
      <c r="BO24" s="2063">
        <v>5819</v>
      </c>
      <c r="BP24" s="2063">
        <v>5491</v>
      </c>
      <c r="BQ24" s="1251"/>
      <c r="BS24" s="1182"/>
      <c r="BV24" s="1181"/>
    </row>
    <row r="25" spans="1:74" ht="12.75" customHeight="1" x14ac:dyDescent="0.2">
      <c r="A25" s="971"/>
      <c r="B25" s="1450" t="s">
        <v>64</v>
      </c>
      <c r="C25" s="979">
        <v>-2</v>
      </c>
      <c r="D25" s="1056">
        <v>-5.8823529411764705E-2</v>
      </c>
      <c r="E25" s="937"/>
      <c r="F25" s="1190"/>
      <c r="G25" s="1190"/>
      <c r="H25" s="1190"/>
      <c r="I25" s="2283">
        <v>32</v>
      </c>
      <c r="J25" s="1275">
        <v>30</v>
      </c>
      <c r="K25" s="1275">
        <v>22</v>
      </c>
      <c r="L25" s="1275">
        <v>28</v>
      </c>
      <c r="M25" s="1276">
        <v>34</v>
      </c>
      <c r="N25" s="1275">
        <v>26</v>
      </c>
      <c r="O25" s="1275">
        <v>28</v>
      </c>
      <c r="P25" s="1275">
        <v>44</v>
      </c>
      <c r="Q25" s="1276">
        <v>34</v>
      </c>
      <c r="R25" s="1275">
        <v>25</v>
      </c>
      <c r="S25" s="1275">
        <v>38</v>
      </c>
      <c r="T25" s="1275">
        <v>41</v>
      </c>
      <c r="U25" s="1276">
        <v>47</v>
      </c>
      <c r="V25" s="1275">
        <v>39</v>
      </c>
      <c r="W25" s="1275">
        <v>47</v>
      </c>
      <c r="X25" s="1275">
        <v>54</v>
      </c>
      <c r="Y25" s="1276">
        <v>56</v>
      </c>
      <c r="Z25" s="1275">
        <v>56</v>
      </c>
      <c r="AA25" s="1275">
        <v>56</v>
      </c>
      <c r="AB25" s="1275">
        <v>80</v>
      </c>
      <c r="AC25" s="1276">
        <v>102</v>
      </c>
      <c r="AD25" s="1275">
        <v>90</v>
      </c>
      <c r="AE25" s="1275">
        <v>97</v>
      </c>
      <c r="AF25" s="1275">
        <v>63</v>
      </c>
      <c r="AG25" s="1276">
        <v>58</v>
      </c>
      <c r="AH25" s="1275">
        <v>44</v>
      </c>
      <c r="AI25" s="1275">
        <v>51</v>
      </c>
      <c r="AJ25" s="1275">
        <v>104</v>
      </c>
      <c r="AK25" s="1276">
        <v>243</v>
      </c>
      <c r="AL25" s="1275">
        <v>671</v>
      </c>
      <c r="AM25" s="1275">
        <v>1758</v>
      </c>
      <c r="AN25" s="1275">
        <v>2459</v>
      </c>
      <c r="AO25" s="1276">
        <v>2915</v>
      </c>
      <c r="AP25" s="1238">
        <v>4124</v>
      </c>
      <c r="AQ25" s="1323">
        <v>5305</v>
      </c>
      <c r="AR25" s="1323">
        <v>5435</v>
      </c>
      <c r="AS25" s="1323">
        <v>5060</v>
      </c>
      <c r="AT25" s="1282">
        <v>4659</v>
      </c>
      <c r="AU25" s="1276">
        <v>4412</v>
      </c>
      <c r="AV25" s="1276">
        <v>4434</v>
      </c>
      <c r="AW25" s="1276">
        <v>4246</v>
      </c>
      <c r="AX25" s="1274"/>
      <c r="AY25" s="1281">
        <v>114</v>
      </c>
      <c r="AZ25" s="1281">
        <v>132</v>
      </c>
      <c r="BA25" s="1025">
        <v>-18</v>
      </c>
      <c r="BB25" s="1056">
        <v>-0.13636363636363635</v>
      </c>
      <c r="BC25" s="1235"/>
      <c r="BD25" s="1935">
        <v>114</v>
      </c>
      <c r="BE25" s="1935">
        <v>132</v>
      </c>
      <c r="BF25" s="1935">
        <v>151</v>
      </c>
      <c r="BG25" s="1447">
        <v>196</v>
      </c>
      <c r="BH25" s="1447">
        <v>294</v>
      </c>
      <c r="BI25" s="1447">
        <v>308</v>
      </c>
      <c r="BJ25" s="1447">
        <v>442</v>
      </c>
      <c r="BK25" s="1447">
        <v>7803</v>
      </c>
      <c r="BL25" s="1447">
        <v>19924</v>
      </c>
      <c r="BM25" s="1447">
        <v>17751</v>
      </c>
      <c r="BN25" s="2063">
        <v>7194</v>
      </c>
      <c r="BO25" s="2063">
        <v>3711</v>
      </c>
      <c r="BP25" s="2063">
        <v>0</v>
      </c>
      <c r="BQ25" s="1251"/>
      <c r="BS25" s="1182"/>
      <c r="BV25" s="1181"/>
    </row>
    <row r="26" spans="1:74" ht="12.75" customHeight="1" x14ac:dyDescent="0.2">
      <c r="A26" s="971"/>
      <c r="B26" s="1450" t="s">
        <v>89</v>
      </c>
      <c r="C26" s="979">
        <v>-209</v>
      </c>
      <c r="D26" s="1056">
        <v>-9.4229035166816952E-2</v>
      </c>
      <c r="E26" s="937"/>
      <c r="F26" s="1190"/>
      <c r="G26" s="1190"/>
      <c r="H26" s="1190"/>
      <c r="I26" s="2283">
        <v>2009</v>
      </c>
      <c r="J26" s="1275">
        <v>1908</v>
      </c>
      <c r="K26" s="1275">
        <v>2238</v>
      </c>
      <c r="L26" s="1275">
        <v>2024</v>
      </c>
      <c r="M26" s="1276">
        <v>2218</v>
      </c>
      <c r="N26" s="1275">
        <v>2841</v>
      </c>
      <c r="O26" s="1275">
        <v>2049</v>
      </c>
      <c r="P26" s="1275">
        <v>2797</v>
      </c>
      <c r="Q26" s="1276">
        <v>3041</v>
      </c>
      <c r="R26" s="1275">
        <v>1877</v>
      </c>
      <c r="S26" s="1275">
        <v>3310</v>
      </c>
      <c r="T26" s="1275">
        <v>2824</v>
      </c>
      <c r="U26" s="1276">
        <v>2668</v>
      </c>
      <c r="V26" s="1275">
        <v>3243</v>
      </c>
      <c r="W26" s="1275">
        <v>3197</v>
      </c>
      <c r="X26" s="1275">
        <v>3536</v>
      </c>
      <c r="Y26" s="1276">
        <v>4472</v>
      </c>
      <c r="Z26" s="1275">
        <v>3668</v>
      </c>
      <c r="AA26" s="1275">
        <v>3720</v>
      </c>
      <c r="AB26" s="1275">
        <v>2632</v>
      </c>
      <c r="AC26" s="1276">
        <v>3319</v>
      </c>
      <c r="AD26" s="1275">
        <v>4728</v>
      </c>
      <c r="AE26" s="1275">
        <v>4268</v>
      </c>
      <c r="AF26" s="1275">
        <v>4186</v>
      </c>
      <c r="AG26" s="1276">
        <v>3730</v>
      </c>
      <c r="AH26" s="1275">
        <v>6030</v>
      </c>
      <c r="AI26" s="1275">
        <v>4108</v>
      </c>
      <c r="AJ26" s="1275">
        <v>2461</v>
      </c>
      <c r="AK26" s="1276">
        <v>3886</v>
      </c>
      <c r="AL26" s="1275">
        <v>2268</v>
      </c>
      <c r="AM26" s="1275">
        <v>7826</v>
      </c>
      <c r="AN26" s="1275">
        <v>3206</v>
      </c>
      <c r="AO26" s="1276">
        <v>3942</v>
      </c>
      <c r="AP26" s="1238">
        <v>3477</v>
      </c>
      <c r="AQ26" s="1323">
        <v>3587</v>
      </c>
      <c r="AR26" s="1323">
        <v>2594</v>
      </c>
      <c r="AS26" s="1323">
        <v>2953</v>
      </c>
      <c r="AT26" s="1282">
        <v>2341</v>
      </c>
      <c r="AU26" s="1276">
        <v>3444</v>
      </c>
      <c r="AV26" s="1276">
        <v>1855</v>
      </c>
      <c r="AW26" s="1276">
        <v>6038</v>
      </c>
      <c r="AX26" s="1274"/>
      <c r="AY26" s="1281">
        <v>8388</v>
      </c>
      <c r="AZ26" s="1281">
        <v>10728</v>
      </c>
      <c r="BA26" s="1025">
        <v>-2340</v>
      </c>
      <c r="BB26" s="1056">
        <v>-0.21812080536912751</v>
      </c>
      <c r="BC26" s="1235"/>
      <c r="BD26" s="1935">
        <v>8388</v>
      </c>
      <c r="BE26" s="1935">
        <v>10728</v>
      </c>
      <c r="BF26" s="1935">
        <v>10679</v>
      </c>
      <c r="BG26" s="1447">
        <v>14448</v>
      </c>
      <c r="BH26" s="1447">
        <v>13339</v>
      </c>
      <c r="BI26" s="1447">
        <v>16912</v>
      </c>
      <c r="BJ26" s="1447">
        <v>16485</v>
      </c>
      <c r="BK26" s="1447">
        <v>17242</v>
      </c>
      <c r="BL26" s="1447">
        <v>12611</v>
      </c>
      <c r="BM26" s="1447">
        <v>13678</v>
      </c>
      <c r="BN26" s="2063">
        <v>12162</v>
      </c>
      <c r="BO26" s="2063">
        <v>5080</v>
      </c>
      <c r="BP26" s="2063">
        <v>9626</v>
      </c>
      <c r="BQ26" s="1251"/>
      <c r="BS26" s="1182"/>
      <c r="BT26" s="1181"/>
      <c r="BU26" s="1181"/>
      <c r="BV26" s="1181"/>
    </row>
    <row r="27" spans="1:74" ht="12.75" customHeight="1" x14ac:dyDescent="0.2">
      <c r="A27" s="971"/>
      <c r="B27" s="1450" t="s">
        <v>71</v>
      </c>
      <c r="C27" s="979">
        <v>-64</v>
      </c>
      <c r="D27" s="1056">
        <v>-0.20317460317460317</v>
      </c>
      <c r="E27" s="1205"/>
      <c r="F27" s="1190"/>
      <c r="G27" s="1190"/>
      <c r="H27" s="1190"/>
      <c r="I27" s="2283">
        <v>251</v>
      </c>
      <c r="J27" s="1275">
        <v>259</v>
      </c>
      <c r="K27" s="1275">
        <v>268</v>
      </c>
      <c r="L27" s="1275">
        <v>256</v>
      </c>
      <c r="M27" s="1276">
        <v>315</v>
      </c>
      <c r="N27" s="1275">
        <v>574</v>
      </c>
      <c r="O27" s="1275">
        <v>603</v>
      </c>
      <c r="P27" s="1275">
        <v>616</v>
      </c>
      <c r="Q27" s="1276">
        <v>602</v>
      </c>
      <c r="R27" s="1275">
        <v>483</v>
      </c>
      <c r="S27" s="1275">
        <v>408</v>
      </c>
      <c r="T27" s="1275">
        <v>380</v>
      </c>
      <c r="U27" s="1276">
        <v>368</v>
      </c>
      <c r="V27" s="1275">
        <v>1940</v>
      </c>
      <c r="W27" s="1275">
        <v>1080</v>
      </c>
      <c r="X27" s="1275">
        <v>499</v>
      </c>
      <c r="Y27" s="1276">
        <v>497</v>
      </c>
      <c r="Z27" s="1275">
        <v>500</v>
      </c>
      <c r="AA27" s="1275">
        <v>513</v>
      </c>
      <c r="AB27" s="1275">
        <v>554</v>
      </c>
      <c r="AC27" s="1276">
        <v>641</v>
      </c>
      <c r="AD27" s="1275">
        <v>632</v>
      </c>
      <c r="AE27" s="1275">
        <v>596</v>
      </c>
      <c r="AF27" s="1275">
        <v>575</v>
      </c>
      <c r="AG27" s="1276">
        <v>619</v>
      </c>
      <c r="AH27" s="1275">
        <v>649</v>
      </c>
      <c r="AI27" s="1275">
        <v>637</v>
      </c>
      <c r="AJ27" s="1275">
        <v>618</v>
      </c>
      <c r="AK27" s="1276">
        <v>602</v>
      </c>
      <c r="AL27" s="1275">
        <v>655</v>
      </c>
      <c r="AM27" s="1275">
        <v>463</v>
      </c>
      <c r="AN27" s="1275">
        <v>411</v>
      </c>
      <c r="AO27" s="1276">
        <v>409</v>
      </c>
      <c r="AP27" s="1238">
        <v>436</v>
      </c>
      <c r="AQ27" s="1323">
        <v>495</v>
      </c>
      <c r="AR27" s="1323">
        <v>472</v>
      </c>
      <c r="AS27" s="1323">
        <v>430</v>
      </c>
      <c r="AT27" s="1282">
        <v>438</v>
      </c>
      <c r="AU27" s="1276">
        <v>380</v>
      </c>
      <c r="AV27" s="1276">
        <v>420</v>
      </c>
      <c r="AW27" s="1276">
        <v>410</v>
      </c>
      <c r="AX27" s="1274"/>
      <c r="AY27" s="1281">
        <v>1098</v>
      </c>
      <c r="AZ27" s="1281">
        <v>2395</v>
      </c>
      <c r="BA27" s="1025">
        <v>-1297</v>
      </c>
      <c r="BB27" s="1056">
        <v>-0.54154488517745303</v>
      </c>
      <c r="BC27" s="1235"/>
      <c r="BD27" s="1935">
        <v>1098</v>
      </c>
      <c r="BE27" s="1935">
        <v>2395</v>
      </c>
      <c r="BF27" s="1935">
        <v>1639</v>
      </c>
      <c r="BG27" s="1447">
        <v>4016</v>
      </c>
      <c r="BH27" s="1447">
        <v>2208</v>
      </c>
      <c r="BI27" s="1447">
        <v>2422</v>
      </c>
      <c r="BJ27" s="1447">
        <v>2506</v>
      </c>
      <c r="BK27" s="1447">
        <v>1938</v>
      </c>
      <c r="BL27" s="1447">
        <v>1833</v>
      </c>
      <c r="BM27" s="1447">
        <v>1648</v>
      </c>
      <c r="BN27" s="2063">
        <v>1439</v>
      </c>
      <c r="BO27" s="2063">
        <v>1087</v>
      </c>
      <c r="BP27" s="2063">
        <v>1295</v>
      </c>
      <c r="BQ27" s="1251"/>
      <c r="BS27" s="1182"/>
      <c r="BT27" s="1181"/>
      <c r="BU27" s="1181"/>
      <c r="BV27" s="1181"/>
    </row>
    <row r="28" spans="1:74" ht="12.75" customHeight="1" x14ac:dyDescent="0.2">
      <c r="A28" s="969"/>
      <c r="B28" s="1450" t="s">
        <v>72</v>
      </c>
      <c r="C28" s="979">
        <v>-139</v>
      </c>
      <c r="D28" s="1056">
        <v>-0.18860244233378562</v>
      </c>
      <c r="E28" s="937"/>
      <c r="F28" s="1190"/>
      <c r="G28" s="1190"/>
      <c r="H28" s="1190"/>
      <c r="I28" s="2283">
        <v>598</v>
      </c>
      <c r="J28" s="1275">
        <v>397</v>
      </c>
      <c r="K28" s="1275">
        <v>779</v>
      </c>
      <c r="L28" s="1275">
        <v>692</v>
      </c>
      <c r="M28" s="1276">
        <v>737</v>
      </c>
      <c r="N28" s="1275">
        <v>919</v>
      </c>
      <c r="O28" s="1275">
        <v>859</v>
      </c>
      <c r="P28" s="1275">
        <v>902</v>
      </c>
      <c r="Q28" s="1276">
        <v>1042</v>
      </c>
      <c r="R28" s="1275">
        <v>1285</v>
      </c>
      <c r="S28" s="1275">
        <v>1059</v>
      </c>
      <c r="T28" s="1275">
        <v>1506</v>
      </c>
      <c r="U28" s="1276">
        <v>1337</v>
      </c>
      <c r="V28" s="1275">
        <v>1312</v>
      </c>
      <c r="W28" s="1275">
        <v>1374</v>
      </c>
      <c r="X28" s="1275">
        <v>1981</v>
      </c>
      <c r="Y28" s="1276">
        <v>1980</v>
      </c>
      <c r="Z28" s="1275">
        <v>2274</v>
      </c>
      <c r="AA28" s="1275">
        <v>1989</v>
      </c>
      <c r="AB28" s="1275">
        <v>1978</v>
      </c>
      <c r="AC28" s="1276">
        <v>1979</v>
      </c>
      <c r="AD28" s="1275">
        <v>2125</v>
      </c>
      <c r="AE28" s="1275">
        <v>2275</v>
      </c>
      <c r="AF28" s="1275">
        <v>2425</v>
      </c>
      <c r="AG28" s="1276">
        <v>2433</v>
      </c>
      <c r="AH28" s="1275">
        <v>2574</v>
      </c>
      <c r="AI28" s="1275">
        <v>3216</v>
      </c>
      <c r="AJ28" s="1275">
        <v>2613</v>
      </c>
      <c r="AK28" s="1276">
        <v>1905</v>
      </c>
      <c r="AL28" s="1275">
        <v>2597</v>
      </c>
      <c r="AM28" s="1275">
        <v>2312</v>
      </c>
      <c r="AN28" s="1275">
        <v>1378</v>
      </c>
      <c r="AO28" s="1276">
        <v>1566</v>
      </c>
      <c r="AP28" s="1238">
        <v>1897</v>
      </c>
      <c r="AQ28" s="1323">
        <v>1550</v>
      </c>
      <c r="AR28" s="1323">
        <v>1341</v>
      </c>
      <c r="AS28" s="1323">
        <v>1372</v>
      </c>
      <c r="AT28" s="1282">
        <v>1370</v>
      </c>
      <c r="AU28" s="1276">
        <v>1663</v>
      </c>
      <c r="AV28" s="1276">
        <v>1517</v>
      </c>
      <c r="AW28" s="1276">
        <v>1521</v>
      </c>
      <c r="AX28" s="1055"/>
      <c r="AY28" s="1026">
        <v>2605</v>
      </c>
      <c r="AZ28" s="1281">
        <v>3722</v>
      </c>
      <c r="BA28" s="1025">
        <v>-1117</v>
      </c>
      <c r="BB28" s="1056">
        <v>-0.30010746910263297</v>
      </c>
      <c r="BC28" s="1235"/>
      <c r="BD28" s="1935">
        <v>2605</v>
      </c>
      <c r="BE28" s="1935">
        <v>3722</v>
      </c>
      <c r="BF28" s="1935">
        <v>5187</v>
      </c>
      <c r="BG28" s="1447">
        <v>6647</v>
      </c>
      <c r="BH28" s="1447">
        <v>8220</v>
      </c>
      <c r="BI28" s="1447">
        <v>9258</v>
      </c>
      <c r="BJ28" s="1447">
        <v>10308</v>
      </c>
      <c r="BK28" s="1447">
        <v>7853</v>
      </c>
      <c r="BL28" s="1447">
        <v>6160</v>
      </c>
      <c r="BM28" s="1447">
        <v>6071</v>
      </c>
      <c r="BN28" s="2063">
        <v>4302</v>
      </c>
      <c r="BO28" s="2063">
        <v>2798</v>
      </c>
      <c r="BP28" s="2063">
        <v>3261</v>
      </c>
      <c r="BQ28" s="1251"/>
      <c r="BS28" s="1182"/>
      <c r="BT28" s="1181"/>
      <c r="BU28" s="1181"/>
      <c r="BV28" s="1181"/>
    </row>
    <row r="29" spans="1:74" ht="12.75" customHeight="1" x14ac:dyDescent="0.2">
      <c r="A29" s="969"/>
      <c r="B29" s="969" t="s">
        <v>160</v>
      </c>
      <c r="C29" s="979">
        <v>0</v>
      </c>
      <c r="D29" s="1056">
        <v>0</v>
      </c>
      <c r="E29" s="937"/>
      <c r="F29" s="1192"/>
      <c r="G29" s="932"/>
      <c r="H29" s="932"/>
      <c r="I29" s="2290">
        <v>0</v>
      </c>
      <c r="J29" s="1281">
        <v>165</v>
      </c>
      <c r="K29" s="1026">
        <v>0</v>
      </c>
      <c r="L29" s="1026">
        <v>0</v>
      </c>
      <c r="M29" s="1308">
        <v>0</v>
      </c>
      <c r="N29" s="1026">
        <v>0</v>
      </c>
      <c r="O29" s="1026">
        <v>0</v>
      </c>
      <c r="P29" s="1026">
        <v>0</v>
      </c>
      <c r="Q29" s="1308">
        <v>0</v>
      </c>
      <c r="R29" s="1026">
        <v>0</v>
      </c>
      <c r="S29" s="1026">
        <v>0</v>
      </c>
      <c r="T29" s="1026">
        <v>0</v>
      </c>
      <c r="U29" s="1308">
        <v>0</v>
      </c>
      <c r="V29" s="1026">
        <v>0</v>
      </c>
      <c r="W29" s="1026">
        <v>0</v>
      </c>
      <c r="X29" s="1026">
        <v>13567</v>
      </c>
      <c r="Y29" s="1308">
        <v>0</v>
      </c>
      <c r="Z29" s="1026">
        <v>900</v>
      </c>
      <c r="AA29" s="1026">
        <v>0</v>
      </c>
      <c r="AB29" s="1026">
        <v>0</v>
      </c>
      <c r="AC29" s="1308">
        <v>0</v>
      </c>
      <c r="AD29" s="1026">
        <v>0</v>
      </c>
      <c r="AE29" s="1026">
        <v>0</v>
      </c>
      <c r="AF29" s="1026">
        <v>0</v>
      </c>
      <c r="AG29" s="1308">
        <v>0</v>
      </c>
      <c r="AH29" s="1026">
        <v>0</v>
      </c>
      <c r="AI29" s="1026">
        <v>0</v>
      </c>
      <c r="AJ29" s="1026">
        <v>0</v>
      </c>
      <c r="AK29" s="1308">
        <v>0</v>
      </c>
      <c r="AL29" s="1026">
        <v>0</v>
      </c>
      <c r="AM29" s="1026">
        <v>5347</v>
      </c>
      <c r="AN29" s="1026">
        <v>0</v>
      </c>
      <c r="AO29" s="1056">
        <v>0</v>
      </c>
      <c r="AP29" s="1252">
        <v>54200</v>
      </c>
      <c r="AQ29" s="1026">
        <v>0</v>
      </c>
      <c r="AR29" s="1026">
        <v>0</v>
      </c>
      <c r="AS29" s="1308">
        <v>0</v>
      </c>
      <c r="AT29" s="1309">
        <v>0</v>
      </c>
      <c r="AU29" s="1308">
        <v>0</v>
      </c>
      <c r="AV29" s="1308">
        <v>0</v>
      </c>
      <c r="AW29" s="1308">
        <v>0</v>
      </c>
      <c r="AX29" s="1055"/>
      <c r="AY29" s="1026">
        <v>165</v>
      </c>
      <c r="AZ29" s="1281">
        <v>0</v>
      </c>
      <c r="BA29" s="1025">
        <v>165</v>
      </c>
      <c r="BB29" s="1056">
        <v>0</v>
      </c>
      <c r="BC29" s="1235"/>
      <c r="BD29" s="1935">
        <v>165</v>
      </c>
      <c r="BE29" s="1935">
        <v>0</v>
      </c>
      <c r="BF29" s="1935">
        <v>0</v>
      </c>
      <c r="BG29" s="1447">
        <v>13567</v>
      </c>
      <c r="BH29" s="1465">
        <v>900</v>
      </c>
      <c r="BI29" s="1465">
        <v>0</v>
      </c>
      <c r="BJ29" s="1465">
        <v>0</v>
      </c>
      <c r="BK29" s="1447">
        <v>180</v>
      </c>
      <c r="BL29" s="1465">
        <v>700</v>
      </c>
      <c r="BM29" s="1465">
        <v>0</v>
      </c>
      <c r="BN29" s="2063">
        <v>0</v>
      </c>
      <c r="BO29" s="2063">
        <v>0</v>
      </c>
      <c r="BP29" s="2063">
        <v>0</v>
      </c>
      <c r="BQ29" s="1251"/>
      <c r="BS29" s="1182"/>
      <c r="BT29" s="1397"/>
      <c r="BU29" s="1181"/>
      <c r="BV29" s="1181"/>
    </row>
    <row r="30" spans="1:74" ht="12.75" customHeight="1" x14ac:dyDescent="0.2">
      <c r="A30" s="971"/>
      <c r="C30" s="1231">
        <v>-929</v>
      </c>
      <c r="D30" s="1232">
        <v>-3.4684886499402628E-2</v>
      </c>
      <c r="E30" s="937"/>
      <c r="F30" s="1194">
        <v>0</v>
      </c>
      <c r="G30" s="1194">
        <v>0</v>
      </c>
      <c r="H30" s="1194">
        <v>0</v>
      </c>
      <c r="I30" s="2285">
        <v>25855</v>
      </c>
      <c r="J30" s="1284">
        <v>23345</v>
      </c>
      <c r="K30" s="1284">
        <v>23384</v>
      </c>
      <c r="L30" s="1284">
        <v>22686</v>
      </c>
      <c r="M30" s="1285">
        <v>26784</v>
      </c>
      <c r="N30" s="1284">
        <v>29816</v>
      </c>
      <c r="O30" s="1284">
        <v>26259</v>
      </c>
      <c r="P30" s="1284">
        <v>28532</v>
      </c>
      <c r="Q30" s="1285">
        <v>30351</v>
      </c>
      <c r="R30" s="1284">
        <v>30921</v>
      </c>
      <c r="S30" s="1284">
        <v>27970</v>
      </c>
      <c r="T30" s="1284">
        <v>26377</v>
      </c>
      <c r="U30" s="1286">
        <v>27166</v>
      </c>
      <c r="V30" s="1284">
        <v>31433</v>
      </c>
      <c r="W30" s="1284">
        <v>31140</v>
      </c>
      <c r="X30" s="1284">
        <v>47379</v>
      </c>
      <c r="Y30" s="1286">
        <v>34551</v>
      </c>
      <c r="Z30" s="1284">
        <v>42651</v>
      </c>
      <c r="AA30" s="1284">
        <v>37244</v>
      </c>
      <c r="AB30" s="1284">
        <v>37327</v>
      </c>
      <c r="AC30" s="1286">
        <v>43517</v>
      </c>
      <c r="AD30" s="1284">
        <v>54200</v>
      </c>
      <c r="AE30" s="1284">
        <v>52012</v>
      </c>
      <c r="AF30" s="1284">
        <v>38601</v>
      </c>
      <c r="AG30" s="1286">
        <v>39500</v>
      </c>
      <c r="AH30" s="1284">
        <v>46835</v>
      </c>
      <c r="AI30" s="1284">
        <v>42047</v>
      </c>
      <c r="AJ30" s="1284">
        <v>35213</v>
      </c>
      <c r="AK30" s="1286">
        <v>35168</v>
      </c>
      <c r="AL30" s="1284">
        <v>28967</v>
      </c>
      <c r="AM30" s="1284">
        <v>40216</v>
      </c>
      <c r="AN30" s="1284">
        <v>35911</v>
      </c>
      <c r="AO30" s="1286">
        <v>44683</v>
      </c>
      <c r="AP30" s="1455">
        <v>98603</v>
      </c>
      <c r="AQ30" s="1315">
        <v>48132</v>
      </c>
      <c r="AR30" s="1315">
        <v>44039</v>
      </c>
      <c r="AS30" s="1315">
        <v>57148</v>
      </c>
      <c r="AT30" s="1291">
        <v>55349</v>
      </c>
      <c r="AU30" s="1286">
        <v>50178</v>
      </c>
      <c r="AV30" s="1286">
        <v>41346</v>
      </c>
      <c r="AW30" s="1286">
        <v>55217</v>
      </c>
      <c r="AX30" s="1055"/>
      <c r="AY30" s="2065">
        <v>96199</v>
      </c>
      <c r="AZ30" s="2065">
        <v>114958</v>
      </c>
      <c r="BA30" s="1456">
        <v>-18759</v>
      </c>
      <c r="BB30" s="2068">
        <v>-0.16318133579220237</v>
      </c>
      <c r="BC30" s="1230"/>
      <c r="BD30" s="2254">
        <v>96199</v>
      </c>
      <c r="BE30" s="1291">
        <v>114958</v>
      </c>
      <c r="BF30" s="1286">
        <v>112434</v>
      </c>
      <c r="BG30" s="1286">
        <v>144503</v>
      </c>
      <c r="BH30" s="1286">
        <v>160739</v>
      </c>
      <c r="BI30" s="1286">
        <v>184313</v>
      </c>
      <c r="BJ30" s="1473">
        <v>159263</v>
      </c>
      <c r="BK30" s="1457">
        <v>149777</v>
      </c>
      <c r="BL30" s="1457">
        <v>247922</v>
      </c>
      <c r="BM30" s="1457">
        <v>202090</v>
      </c>
      <c r="BN30" s="2066">
        <v>163976</v>
      </c>
      <c r="BO30" s="2066">
        <v>127504</v>
      </c>
      <c r="BP30" s="2066">
        <v>118638</v>
      </c>
      <c r="BQ30" s="1251"/>
      <c r="BS30" s="1181"/>
      <c r="BT30" s="1181"/>
      <c r="BU30" s="1181"/>
      <c r="BV30" s="1181"/>
    </row>
    <row r="31" spans="1:74" s="1211" customFormat="1" ht="24.75" customHeight="1" thickBot="1" x14ac:dyDescent="0.25">
      <c r="A31" s="2465" t="s">
        <v>211</v>
      </c>
      <c r="B31" s="2466"/>
      <c r="C31" s="979">
        <v>-514</v>
      </c>
      <c r="D31" s="1253">
        <v>-0.12439496611810262</v>
      </c>
      <c r="E31" s="937"/>
      <c r="F31" s="1209">
        <v>0</v>
      </c>
      <c r="G31" s="1209">
        <v>0</v>
      </c>
      <c r="H31" s="1209">
        <v>0</v>
      </c>
      <c r="I31" s="2283">
        <v>3618</v>
      </c>
      <c r="J31" s="1322">
        <v>2176</v>
      </c>
      <c r="K31" s="1322">
        <v>2232</v>
      </c>
      <c r="L31" s="1322">
        <v>3469</v>
      </c>
      <c r="M31" s="1276">
        <v>4132</v>
      </c>
      <c r="N31" s="1323">
        <v>3263</v>
      </c>
      <c r="O31" s="1322">
        <v>2008</v>
      </c>
      <c r="P31" s="1322">
        <v>3105</v>
      </c>
      <c r="Q31" s="1276">
        <v>2005</v>
      </c>
      <c r="R31" s="1323">
        <v>1095</v>
      </c>
      <c r="S31" s="1322">
        <v>-251</v>
      </c>
      <c r="T31" s="1322">
        <v>-1964</v>
      </c>
      <c r="U31" s="1978">
        <v>-324</v>
      </c>
      <c r="V31" s="1237">
        <v>790</v>
      </c>
      <c r="W31" s="1330">
        <v>3911</v>
      </c>
      <c r="X31" s="1330">
        <v>-11565</v>
      </c>
      <c r="Y31" s="1331">
        <v>2216</v>
      </c>
      <c r="Z31" s="1237">
        <v>9886</v>
      </c>
      <c r="AA31" s="1330">
        <v>7327</v>
      </c>
      <c r="AB31" s="1315">
        <v>10085</v>
      </c>
      <c r="AC31" s="1286">
        <v>11266</v>
      </c>
      <c r="AD31" s="1452">
        <v>18504</v>
      </c>
      <c r="AE31" s="1452">
        <v>16587</v>
      </c>
      <c r="AF31" s="1323">
        <v>5938</v>
      </c>
      <c r="AG31" s="1453">
        <v>7707</v>
      </c>
      <c r="AH31" s="1323">
        <v>8155</v>
      </c>
      <c r="AI31" s="1452">
        <v>9686</v>
      </c>
      <c r="AJ31" s="1323">
        <v>4925</v>
      </c>
      <c r="AK31" s="1453">
        <v>5017</v>
      </c>
      <c r="AL31" s="1452">
        <v>8288</v>
      </c>
      <c r="AM31" s="1452">
        <v>-6684</v>
      </c>
      <c r="AN31" s="1452">
        <v>7933</v>
      </c>
      <c r="AO31" s="1453">
        <v>13170</v>
      </c>
      <c r="AP31" s="1530">
        <v>-44140</v>
      </c>
      <c r="AQ31" s="1286">
        <v>13034</v>
      </c>
      <c r="AR31" s="1286">
        <v>13376</v>
      </c>
      <c r="AS31" s="1315">
        <v>18935</v>
      </c>
      <c r="AT31" s="1315">
        <v>20527</v>
      </c>
      <c r="AU31" s="1315">
        <v>18653</v>
      </c>
      <c r="AV31" s="1315">
        <v>14280</v>
      </c>
      <c r="AW31" s="1315">
        <v>17069</v>
      </c>
      <c r="AX31" s="1055"/>
      <c r="AY31" s="1231">
        <v>12009</v>
      </c>
      <c r="AZ31" s="1025">
        <v>10381</v>
      </c>
      <c r="BA31" s="1925">
        <v>1628</v>
      </c>
      <c r="BB31" s="2068">
        <v>0.15682496869280416</v>
      </c>
      <c r="BC31" s="1230"/>
      <c r="BD31" s="2048">
        <v>12009</v>
      </c>
      <c r="BE31" s="1320">
        <v>10381</v>
      </c>
      <c r="BF31" s="1320">
        <v>-1444</v>
      </c>
      <c r="BG31" s="1320">
        <v>-4648</v>
      </c>
      <c r="BH31" s="1320">
        <v>38564</v>
      </c>
      <c r="BI31" s="1320">
        <v>48736</v>
      </c>
      <c r="BJ31" s="1484">
        <v>27783</v>
      </c>
      <c r="BK31" s="1457">
        <v>22707</v>
      </c>
      <c r="BL31" s="1479">
        <v>1205</v>
      </c>
      <c r="BM31" s="1479">
        <v>70529</v>
      </c>
      <c r="BN31" s="1369">
        <v>61218</v>
      </c>
      <c r="BO31" s="1369">
        <v>50672</v>
      </c>
      <c r="BP31" s="2069">
        <v>57345</v>
      </c>
      <c r="BQ31" s="1251"/>
      <c r="BR31" s="2210"/>
      <c r="BS31" s="931"/>
      <c r="BT31" s="2054"/>
      <c r="BU31" s="2054"/>
      <c r="BV31" s="2054"/>
    </row>
    <row r="32" spans="1:74" s="1211" customFormat="1" ht="15" customHeight="1" thickTop="1" x14ac:dyDescent="0.2">
      <c r="A32" s="2275"/>
      <c r="B32" s="1423" t="s">
        <v>347</v>
      </c>
      <c r="C32" s="1231">
        <v>-1259</v>
      </c>
      <c r="D32" s="1232">
        <v>-0.27841662980981868</v>
      </c>
      <c r="E32" s="937"/>
      <c r="F32" s="1404"/>
      <c r="G32" s="1403"/>
      <c r="H32" s="1403"/>
      <c r="I32" s="2304">
        <v>3263</v>
      </c>
      <c r="J32" s="1487">
        <v>5413</v>
      </c>
      <c r="K32" s="1488">
        <v>4592</v>
      </c>
      <c r="L32" s="1488">
        <v>5137</v>
      </c>
      <c r="M32" s="1479">
        <v>4522</v>
      </c>
      <c r="N32" s="1487">
        <v>4542</v>
      </c>
      <c r="O32" s="1488">
        <v>3794</v>
      </c>
      <c r="P32" s="1488">
        <v>4870</v>
      </c>
      <c r="Q32" s="1479">
        <v>4277</v>
      </c>
      <c r="R32" s="1487">
        <v>4275</v>
      </c>
      <c r="S32" s="1487">
        <v>4407</v>
      </c>
      <c r="T32" s="1488">
        <v>3182</v>
      </c>
      <c r="U32" s="1502">
        <v>4808</v>
      </c>
      <c r="V32" s="1488">
        <v>8342</v>
      </c>
      <c r="W32" s="1488">
        <v>8506</v>
      </c>
      <c r="X32" s="1488">
        <v>9222</v>
      </c>
      <c r="Y32" s="1502">
        <v>9425</v>
      </c>
      <c r="Z32" s="1488">
        <v>10587</v>
      </c>
      <c r="AA32" s="1488">
        <v>8276</v>
      </c>
      <c r="AB32" s="1487">
        <v>8150</v>
      </c>
      <c r="AC32" s="1479">
        <v>8724</v>
      </c>
      <c r="AD32" s="1487"/>
      <c r="AE32" s="1487"/>
      <c r="AF32" s="1487"/>
      <c r="AG32" s="1479"/>
      <c r="AH32" s="1487"/>
      <c r="AI32" s="1487"/>
      <c r="AJ32" s="1487"/>
      <c r="AK32" s="1479"/>
      <c r="AL32" s="1503"/>
      <c r="AM32" s="1503"/>
      <c r="AN32" s="1503"/>
      <c r="AO32" s="1494"/>
      <c r="AP32" s="2071"/>
      <c r="AQ32" s="1491"/>
      <c r="AR32" s="1491"/>
      <c r="AS32" s="1490"/>
      <c r="AT32" s="1490"/>
      <c r="AU32" s="1490"/>
      <c r="AV32" s="1490"/>
      <c r="AW32" s="1490"/>
      <c r="AX32" s="2070"/>
      <c r="AY32" s="2035">
        <v>19664</v>
      </c>
      <c r="AZ32" s="2035">
        <v>17483</v>
      </c>
      <c r="BA32" s="1925">
        <v>2181</v>
      </c>
      <c r="BB32" s="1232">
        <v>0.12474975690670938</v>
      </c>
      <c r="BC32" s="2253"/>
      <c r="BD32" s="1935">
        <v>19664</v>
      </c>
      <c r="BE32" s="1493">
        <v>17483</v>
      </c>
      <c r="BF32" s="1489">
        <v>16672</v>
      </c>
      <c r="BG32" s="1489">
        <v>35495</v>
      </c>
      <c r="BH32" s="1489">
        <v>35737</v>
      </c>
      <c r="BI32" s="1489">
        <v>36604</v>
      </c>
      <c r="BJ32" s="1489" t="e">
        <f>+#REF!</f>
        <v>#REF!</v>
      </c>
      <c r="BK32" s="1491" t="e">
        <f>+#REF!</f>
        <v>#REF!</v>
      </c>
      <c r="BL32" s="1494"/>
      <c r="BM32" s="1494"/>
      <c r="BN32" s="1495"/>
      <c r="BO32" s="1495"/>
      <c r="BP32" s="1236"/>
      <c r="BQ32" s="1251"/>
      <c r="BR32" s="2210"/>
      <c r="BS32" s="931"/>
      <c r="BT32" s="1402"/>
      <c r="BU32" s="1402"/>
      <c r="BV32" s="2055"/>
    </row>
    <row r="33" spans="1:74" s="1211" customFormat="1" ht="24.75" customHeight="1" thickBot="1" x14ac:dyDescent="0.25">
      <c r="A33" s="1239" t="s">
        <v>74</v>
      </c>
      <c r="B33" s="970"/>
      <c r="C33" s="1425">
        <v>745</v>
      </c>
      <c r="D33" s="1243">
        <v>1.9102564102564104</v>
      </c>
      <c r="E33" s="937"/>
      <c r="F33" s="1409">
        <v>0</v>
      </c>
      <c r="G33" s="1409">
        <v>0</v>
      </c>
      <c r="H33" s="1409">
        <v>0</v>
      </c>
      <c r="I33" s="2311">
        <v>355</v>
      </c>
      <c r="J33" s="1510">
        <v>-3237</v>
      </c>
      <c r="K33" s="1510">
        <v>-2360</v>
      </c>
      <c r="L33" s="1510">
        <v>-1668</v>
      </c>
      <c r="M33" s="1514">
        <v>-390</v>
      </c>
      <c r="N33" s="1510">
        <v>-1279</v>
      </c>
      <c r="O33" s="1510">
        <v>-1786</v>
      </c>
      <c r="P33" s="1510">
        <v>-1765</v>
      </c>
      <c r="Q33" s="1514">
        <v>-2272</v>
      </c>
      <c r="R33" s="1510">
        <v>-3180</v>
      </c>
      <c r="S33" s="1510">
        <v>-4658</v>
      </c>
      <c r="T33" s="1510">
        <v>-5146</v>
      </c>
      <c r="U33" s="1514">
        <v>-5132</v>
      </c>
      <c r="V33" s="1510">
        <v>-7552</v>
      </c>
      <c r="W33" s="1510">
        <v>-4595</v>
      </c>
      <c r="X33" s="1510">
        <v>-20787</v>
      </c>
      <c r="Y33" s="1514">
        <v>-7209</v>
      </c>
      <c r="Z33" s="1510">
        <v>-701</v>
      </c>
      <c r="AA33" s="1510">
        <v>-949</v>
      </c>
      <c r="AB33" s="1512">
        <v>1935</v>
      </c>
      <c r="AC33" s="1513">
        <v>2542</v>
      </c>
      <c r="AD33" s="1512">
        <v>9122</v>
      </c>
      <c r="AE33" s="1512">
        <v>8143</v>
      </c>
      <c r="AF33" s="1512">
        <v>-3436</v>
      </c>
      <c r="AG33" s="1513">
        <v>-1697</v>
      </c>
      <c r="AH33" s="1512">
        <v>-1070</v>
      </c>
      <c r="AI33" s="1512">
        <v>-87</v>
      </c>
      <c r="AJ33" s="1512">
        <v>-3294</v>
      </c>
      <c r="AK33" s="1513">
        <v>-3548</v>
      </c>
      <c r="AL33" s="1515" t="s">
        <v>177</v>
      </c>
      <c r="AM33" s="1515" t="s">
        <v>177</v>
      </c>
      <c r="AN33" s="1515" t="s">
        <v>177</v>
      </c>
      <c r="AO33" s="1516" t="s">
        <v>177</v>
      </c>
      <c r="AP33" s="2072" t="s">
        <v>177</v>
      </c>
      <c r="AQ33" s="1491"/>
      <c r="AR33" s="1491"/>
      <c r="AS33" s="1490"/>
      <c r="AT33" s="1490"/>
      <c r="AU33" s="1490"/>
      <c r="AV33" s="1490"/>
      <c r="AW33" s="1490"/>
      <c r="AX33" s="2070"/>
      <c r="AY33" s="1485">
        <v>-7655</v>
      </c>
      <c r="AZ33" s="1485">
        <v>-7102</v>
      </c>
      <c r="BA33" s="1485">
        <v>-553</v>
      </c>
      <c r="BB33" s="1243">
        <v>-7.7865390030977186E-2</v>
      </c>
      <c r="BC33" s="2253"/>
      <c r="BD33" s="2255">
        <v>-7655</v>
      </c>
      <c r="BE33" s="1518">
        <v>-7102</v>
      </c>
      <c r="BF33" s="1514">
        <v>-18116</v>
      </c>
      <c r="BG33" s="1514">
        <v>-40143</v>
      </c>
      <c r="BH33" s="1514">
        <v>2827</v>
      </c>
      <c r="BI33" s="1514">
        <v>12132</v>
      </c>
      <c r="BJ33" s="1518">
        <v>-7999</v>
      </c>
      <c r="BK33" s="2072" t="s">
        <v>177</v>
      </c>
      <c r="BL33" s="1516" t="s">
        <v>177</v>
      </c>
      <c r="BM33" s="1516" t="s">
        <v>177</v>
      </c>
      <c r="BN33" s="1520" t="s">
        <v>177</v>
      </c>
      <c r="BO33" s="1520" t="s">
        <v>177</v>
      </c>
      <c r="BP33" s="1236"/>
      <c r="BQ33" s="1251"/>
      <c r="BR33" s="2210"/>
      <c r="BS33" s="931"/>
      <c r="BT33" s="1402"/>
      <c r="BU33" s="1402"/>
      <c r="BV33" s="1402"/>
    </row>
    <row r="34" spans="1:74" ht="12.75" customHeight="1" thickTop="1" x14ac:dyDescent="0.2">
      <c r="A34" s="1244"/>
      <c r="B34" s="1244"/>
      <c r="C34" s="1025"/>
      <c r="D34" s="975"/>
      <c r="E34" s="926"/>
      <c r="F34" s="926"/>
      <c r="G34" s="926"/>
      <c r="H34" s="926"/>
      <c r="I34" s="918"/>
      <c r="J34" s="975"/>
      <c r="K34" s="975"/>
      <c r="L34" s="975"/>
      <c r="M34" s="969"/>
      <c r="N34" s="975"/>
      <c r="O34" s="975"/>
      <c r="P34" s="975"/>
      <c r="Q34" s="969"/>
      <c r="R34" s="975"/>
      <c r="S34" s="975"/>
      <c r="T34" s="975"/>
      <c r="U34" s="969"/>
      <c r="V34" s="975"/>
      <c r="W34" s="975"/>
      <c r="X34" s="975"/>
      <c r="Y34" s="969"/>
      <c r="Z34" s="975"/>
      <c r="AA34" s="975"/>
      <c r="AB34" s="975"/>
      <c r="AC34" s="969"/>
      <c r="AD34" s="975"/>
      <c r="AE34" s="975"/>
      <c r="AF34" s="975"/>
      <c r="AG34" s="969"/>
      <c r="AH34" s="975"/>
      <c r="AI34" s="975"/>
      <c r="AJ34" s="975"/>
      <c r="AK34" s="969"/>
      <c r="AL34" s="975"/>
      <c r="AM34" s="975"/>
      <c r="AN34" s="975"/>
      <c r="AO34" s="969"/>
      <c r="AP34" s="1244"/>
      <c r="AQ34" s="1244"/>
      <c r="AR34" s="1244"/>
      <c r="AS34" s="1323"/>
      <c r="AT34" s="1323"/>
      <c r="AU34" s="1323"/>
      <c r="AV34" s="1323"/>
      <c r="AW34" s="1323"/>
      <c r="AX34" s="969"/>
      <c r="AY34" s="969"/>
      <c r="AZ34" s="1251"/>
      <c r="BA34" s="1025"/>
      <c r="BB34" s="975"/>
      <c r="BC34" s="1251"/>
      <c r="BD34" s="1251"/>
      <c r="BE34" s="1251"/>
      <c r="BF34" s="1251"/>
      <c r="BG34" s="1251"/>
      <c r="BH34" s="1251"/>
      <c r="BI34" s="1251"/>
      <c r="BJ34" s="1251"/>
      <c r="BK34" s="1251"/>
      <c r="BL34" s="1025"/>
      <c r="BM34" s="1025"/>
      <c r="BN34" s="1236"/>
      <c r="BO34" s="1236"/>
      <c r="BP34" s="1236"/>
      <c r="BQ34" s="1251"/>
      <c r="BS34" s="1181"/>
      <c r="BV34" s="1181"/>
    </row>
    <row r="35" spans="1:74" ht="13.5" customHeight="1" x14ac:dyDescent="0.2">
      <c r="A35" s="1247" t="s">
        <v>369</v>
      </c>
      <c r="B35" s="1244"/>
      <c r="C35" s="2010">
        <v>-1.2850228938888097</v>
      </c>
      <c r="D35" s="975"/>
      <c r="E35" s="926"/>
      <c r="F35" s="939">
        <v>0.14667793133622609</v>
      </c>
      <c r="G35" s="939" t="e">
        <v>#REF!</v>
      </c>
      <c r="H35" s="939" t="e">
        <v>#REF!</v>
      </c>
      <c r="I35" s="939">
        <v>0.37610694533980255</v>
      </c>
      <c r="J35" s="1057">
        <v>0.45690282512440727</v>
      </c>
      <c r="K35" s="1057">
        <v>0.46627041090997806</v>
      </c>
      <c r="L35" s="1057">
        <v>0.45328491684190392</v>
      </c>
      <c r="M35" s="1057">
        <v>0.38895717427869064</v>
      </c>
      <c r="N35" s="1057">
        <v>0.34889204631337101</v>
      </c>
      <c r="O35" s="1057">
        <v>0.40145752998195777</v>
      </c>
      <c r="P35" s="1057">
        <v>0.34314252299522713</v>
      </c>
      <c r="Q35" s="1057">
        <v>0.31647916924218072</v>
      </c>
      <c r="R35" s="1057">
        <v>0.29641429285357324</v>
      </c>
      <c r="S35" s="1057">
        <v>0.32353259497095854</v>
      </c>
      <c r="T35" s="1057">
        <v>0.35776020972432721</v>
      </c>
      <c r="U35" s="1057">
        <v>0.31834438566425749</v>
      </c>
      <c r="V35" s="1057">
        <v>0.25</v>
      </c>
      <c r="W35" s="1057">
        <v>0.27974112237077409</v>
      </c>
      <c r="X35" s="1057">
        <v>0.26209862850650578</v>
      </c>
      <c r="Y35" s="1057">
        <v>0.25689293025976445</v>
      </c>
      <c r="Z35" s="1057">
        <v>0.185</v>
      </c>
      <c r="AA35" s="1057">
        <v>0.19878396266630768</v>
      </c>
      <c r="AB35" s="1057">
        <v>0.19393824348266261</v>
      </c>
      <c r="AC35" s="1057">
        <v>0.1696146614825767</v>
      </c>
      <c r="AD35" s="1057">
        <v>0.12057108274647887</v>
      </c>
      <c r="AE35" s="1057">
        <v>0.11753815653289407</v>
      </c>
      <c r="AF35" s="1057">
        <v>0.15242820898538359</v>
      </c>
      <c r="AG35" s="1057">
        <v>0.14044527294680872</v>
      </c>
      <c r="AH35" s="1057">
        <v>0.11445717403164211</v>
      </c>
      <c r="AI35" s="1057">
        <v>0.11710126998240968</v>
      </c>
      <c r="AJ35" s="1057">
        <v>0.15167671533210425</v>
      </c>
      <c r="AK35" s="1057">
        <v>0.1384596242378997</v>
      </c>
      <c r="AL35" s="1057">
        <v>0.14532277546638034</v>
      </c>
      <c r="AM35" s="1057">
        <v>0.18445067398306095</v>
      </c>
      <c r="AN35" s="1057">
        <v>0.19284280631329259</v>
      </c>
      <c r="AO35" s="1057">
        <v>0.157</v>
      </c>
      <c r="AP35" s="1057">
        <v>0.16300000000000001</v>
      </c>
      <c r="AQ35" s="1057">
        <v>0.153</v>
      </c>
      <c r="AR35" s="1057">
        <v>0.16</v>
      </c>
      <c r="AS35" s="1057">
        <v>0.12</v>
      </c>
      <c r="AT35" s="1057">
        <v>0.11600000000000001</v>
      </c>
      <c r="AU35" s="1057">
        <v>0.121</v>
      </c>
      <c r="AV35" s="1057">
        <v>0.14299999999999999</v>
      </c>
      <c r="AW35" s="1057">
        <v>0.104</v>
      </c>
      <c r="AX35" s="969"/>
      <c r="AY35" s="2236">
        <v>0.43325613271578356</v>
      </c>
      <c r="AZ35" s="2223">
        <v>0.33</v>
      </c>
      <c r="BA35" s="2010">
        <v>10.325613271578355</v>
      </c>
      <c r="BB35" s="975"/>
      <c r="BC35" s="1251"/>
      <c r="BD35" s="1057">
        <v>0.43883323641385102</v>
      </c>
      <c r="BE35" s="1057">
        <v>0.35092828249786578</v>
      </c>
      <c r="BF35" s="1057">
        <v>0.32198396251914585</v>
      </c>
      <c r="BG35" s="1057">
        <v>0.26219580263451664</v>
      </c>
      <c r="BH35" s="1057">
        <v>0.189</v>
      </c>
      <c r="BI35" s="1057">
        <v>0.12979244708194415</v>
      </c>
      <c r="BJ35" s="1057">
        <v>0.128</v>
      </c>
      <c r="BK35" s="1057">
        <v>0.16900000000000001</v>
      </c>
      <c r="BL35" s="1057">
        <v>0.14699999999999999</v>
      </c>
      <c r="BM35" s="1057">
        <v>0.11899999999999999</v>
      </c>
      <c r="BN35" s="2073">
        <v>9.9000000000000005E-2</v>
      </c>
      <c r="BO35" s="2073">
        <v>7.6999999999999999E-2</v>
      </c>
      <c r="BP35" s="2073">
        <v>7.9000000000000001E-2</v>
      </c>
      <c r="BQ35" s="1251"/>
      <c r="BS35" s="1181"/>
      <c r="BV35" s="1181"/>
    </row>
    <row r="36" spans="1:74" ht="13.5" customHeight="1" x14ac:dyDescent="0.2">
      <c r="A36" s="969" t="s">
        <v>306</v>
      </c>
      <c r="B36" s="1244"/>
      <c r="C36" s="2010">
        <v>-1.6184676320565083</v>
      </c>
      <c r="D36" s="975"/>
      <c r="E36" s="926"/>
      <c r="F36" s="939" t="e">
        <v>#DIV/0!</v>
      </c>
      <c r="G36" s="939" t="e">
        <v>#DIV/0!</v>
      </c>
      <c r="H36" s="939" t="e">
        <v>#DIV/0!</v>
      </c>
      <c r="I36" s="939">
        <v>0.49316323414650698</v>
      </c>
      <c r="J36" s="1057">
        <v>0.4550370283296109</v>
      </c>
      <c r="K36" s="1057">
        <v>0.46185977514053717</v>
      </c>
      <c r="L36" s="1057">
        <v>0.46836168992544447</v>
      </c>
      <c r="M36" s="1057">
        <v>0.50934791046707206</v>
      </c>
      <c r="N36" s="1057">
        <v>0.50282656670395109</v>
      </c>
      <c r="O36" s="1057">
        <v>0.48431032652916828</v>
      </c>
      <c r="P36" s="1057">
        <v>0.48930050257609758</v>
      </c>
      <c r="Q36" s="1057">
        <v>0.50955000618123381</v>
      </c>
      <c r="R36" s="1057">
        <v>0.48438280859570215</v>
      </c>
      <c r="S36" s="1057">
        <v>0.48616472455716297</v>
      </c>
      <c r="T36" s="1057">
        <v>0.49350755744890018</v>
      </c>
      <c r="U36" s="1057">
        <v>0.47645480962670445</v>
      </c>
      <c r="V36" s="1057">
        <v>0.49492598454520065</v>
      </c>
      <c r="W36" s="1057">
        <v>0.46124218995178456</v>
      </c>
      <c r="X36" s="1057">
        <v>0.48978053275255484</v>
      </c>
      <c r="Y36" s="1057">
        <v>0.48869910517583703</v>
      </c>
      <c r="Z36" s="1057">
        <v>0.47210537335592057</v>
      </c>
      <c r="AA36" s="1057">
        <v>0.47943730228175269</v>
      </c>
      <c r="AB36" s="1057">
        <v>0.46859444866278577</v>
      </c>
      <c r="AC36" s="1057">
        <v>0.4969972436704817</v>
      </c>
      <c r="AD36" s="1057">
        <v>0.46599911971830987</v>
      </c>
      <c r="AE36" s="1057">
        <v>0.48315573113310689</v>
      </c>
      <c r="AF36" s="1057">
        <v>0.46395294011989491</v>
      </c>
      <c r="AG36" s="1057"/>
      <c r="AH36" s="1057"/>
      <c r="AI36" s="1057"/>
      <c r="AJ36" s="1057"/>
      <c r="AK36" s="1057"/>
      <c r="AL36" s="1057"/>
      <c r="AM36" s="1057"/>
      <c r="AN36" s="1057"/>
      <c r="AO36" s="1057"/>
      <c r="AP36" s="1057"/>
      <c r="AQ36" s="1057"/>
      <c r="AR36" s="1057"/>
      <c r="AS36" s="1057"/>
      <c r="AT36" s="1057"/>
      <c r="AU36" s="1057"/>
      <c r="AV36" s="1057"/>
      <c r="AW36" s="1057"/>
      <c r="AX36" s="969"/>
      <c r="AY36" s="1057">
        <v>0.4753899896495638</v>
      </c>
      <c r="AZ36" s="1057">
        <v>0.49697221136278413</v>
      </c>
      <c r="BA36" s="2010">
        <v>-2.1582221713220329</v>
      </c>
      <c r="BB36" s="975"/>
      <c r="BC36" s="1251"/>
      <c r="BD36" s="1057">
        <v>0.4753899896495638</v>
      </c>
      <c r="BE36" s="1057">
        <v>0.49697221136278413</v>
      </c>
      <c r="BF36" s="1057">
        <v>0.48491756014055321</v>
      </c>
      <c r="BG36" s="1057">
        <v>0.48352936970433663</v>
      </c>
      <c r="BH36" s="1057">
        <v>0.47975193549520079</v>
      </c>
      <c r="BI36" s="1057">
        <v>0.47209385150762284</v>
      </c>
      <c r="BJ36" s="1057">
        <f t="shared" ref="BJ36:BL37" si="1">BJ18/BJ$16</f>
        <v>0.44789517017204322</v>
      </c>
      <c r="BK36" s="1057">
        <f t="shared" si="1"/>
        <v>0.43080517613227892</v>
      </c>
      <c r="BL36" s="1057">
        <f t="shared" si="1"/>
        <v>0.44877913674551534</v>
      </c>
      <c r="BM36" s="1057"/>
      <c r="BN36" s="2073"/>
      <c r="BO36" s="2073"/>
      <c r="BP36" s="2073"/>
      <c r="BQ36" s="1251"/>
      <c r="BS36" s="1181"/>
      <c r="BV36" s="1181"/>
    </row>
    <row r="37" spans="1:74" ht="13.5" customHeight="1" x14ac:dyDescent="0.2">
      <c r="A37" s="969" t="s">
        <v>307</v>
      </c>
      <c r="B37" s="1244"/>
      <c r="C37" s="2010">
        <v>0.35234678015716087</v>
      </c>
      <c r="D37" s="975"/>
      <c r="E37" s="926"/>
      <c r="F37" s="939" t="e">
        <v>#DIV/0!</v>
      </c>
      <c r="G37" s="939" t="e">
        <v>#DIV/0!</v>
      </c>
      <c r="H37" s="939" t="e">
        <v>#DIV/0!</v>
      </c>
      <c r="I37" s="939">
        <v>5.496556170053948E-3</v>
      </c>
      <c r="J37" s="1057">
        <v>1.5673367031072451E-3</v>
      </c>
      <c r="K37" s="1057">
        <v>3.4353529044347281E-3</v>
      </c>
      <c r="L37" s="1057">
        <v>2.943987765245651E-3</v>
      </c>
      <c r="M37" s="1057">
        <v>1.9730883684823393E-3</v>
      </c>
      <c r="N37" s="1057">
        <v>-8.0413555427914993E-3</v>
      </c>
      <c r="O37" s="1057">
        <v>1.0259312979799767E-2</v>
      </c>
      <c r="P37" s="1057">
        <v>7.2383601479280588E-3</v>
      </c>
      <c r="Q37" s="1057">
        <v>8.3446655952528117E-3</v>
      </c>
      <c r="R37" s="1057">
        <v>3.9042978510744626E-2</v>
      </c>
      <c r="S37" s="1057">
        <v>2.1573649843067932E-2</v>
      </c>
      <c r="T37" s="1057">
        <v>2.2815712939827142E-2</v>
      </c>
      <c r="U37" s="1057">
        <v>1.0990239177408538E-2</v>
      </c>
      <c r="V37" s="1057">
        <v>4.2361046457499302E-2</v>
      </c>
      <c r="W37" s="1057">
        <v>5.745913098057117E-2</v>
      </c>
      <c r="X37" s="1057">
        <v>6.2992125984251968E-2</v>
      </c>
      <c r="Y37" s="1057">
        <v>2.8938994206761499E-2</v>
      </c>
      <c r="Z37" s="1057">
        <v>1.9947846279764737E-2</v>
      </c>
      <c r="AA37" s="1057">
        <v>2.636243297211191E-2</v>
      </c>
      <c r="AB37" s="1057">
        <v>3.2881970809077871E-2</v>
      </c>
      <c r="AC37" s="1057">
        <v>1.8235584031542632E-2</v>
      </c>
      <c r="AD37" s="1057">
        <v>2.2570972711267605E-2</v>
      </c>
      <c r="AE37" s="1057">
        <v>4.0190090234551522E-2</v>
      </c>
      <c r="AF37" s="1057">
        <v>2.0139652888479759E-2</v>
      </c>
      <c r="AG37" s="1057"/>
      <c r="AH37" s="1057"/>
      <c r="AI37" s="1057"/>
      <c r="AJ37" s="1057"/>
      <c r="AK37" s="1057"/>
      <c r="AL37" s="1057"/>
      <c r="AM37" s="1057"/>
      <c r="AN37" s="1057"/>
      <c r="AO37" s="1057"/>
      <c r="AP37" s="1057"/>
      <c r="AQ37" s="1057"/>
      <c r="AR37" s="1057"/>
      <c r="AS37" s="1057"/>
      <c r="AT37" s="1057"/>
      <c r="AU37" s="1057"/>
      <c r="AV37" s="1057"/>
      <c r="AW37" s="1057"/>
      <c r="AX37" s="969"/>
      <c r="AY37" s="1057">
        <v>2.4582285967765785E-3</v>
      </c>
      <c r="AZ37" s="1057">
        <v>4.1726836818548095E-3</v>
      </c>
      <c r="BA37" s="2010">
        <v>-0.17144550850782311</v>
      </c>
      <c r="BB37" s="975"/>
      <c r="BC37" s="1251"/>
      <c r="BD37" s="1057">
        <v>2.4582285967765785E-3</v>
      </c>
      <c r="BE37" s="1057">
        <v>4.1726836818548095E-3</v>
      </c>
      <c r="BF37" s="1057">
        <v>2.4326515902333545E-2</v>
      </c>
      <c r="BG37" s="1057">
        <v>4.7899610310678915E-2</v>
      </c>
      <c r="BH37" s="1057">
        <v>2.3988600271947737E-2</v>
      </c>
      <c r="BI37" s="1057">
        <v>2.6788357813163754E-2</v>
      </c>
      <c r="BJ37" s="1057">
        <f t="shared" si="1"/>
        <v>2.5731638206644356E-2</v>
      </c>
      <c r="BK37" s="1057">
        <f t="shared" si="1"/>
        <v>4.4062057930010899E-4</v>
      </c>
      <c r="BL37" s="1057">
        <f t="shared" si="1"/>
        <v>1.5401783026327937E-2</v>
      </c>
      <c r="BM37" s="1057"/>
      <c r="BN37" s="2073"/>
      <c r="BO37" s="2073"/>
      <c r="BP37" s="2073"/>
      <c r="BQ37" s="1251"/>
      <c r="BS37" s="1181"/>
      <c r="BV37" s="1181"/>
    </row>
    <row r="38" spans="1:74" ht="12.75" customHeight="1" x14ac:dyDescent="0.2">
      <c r="A38" s="1246" t="s">
        <v>76</v>
      </c>
      <c r="B38" s="1244"/>
      <c r="C38" s="2010">
        <v>-1.2661208518993439</v>
      </c>
      <c r="D38" s="975"/>
      <c r="E38" s="926"/>
      <c r="F38" s="939" t="e">
        <v>#DIV/0!</v>
      </c>
      <c r="G38" s="939" t="e">
        <v>#DIV/0!</v>
      </c>
      <c r="H38" s="939" t="e">
        <v>#DIV/0!</v>
      </c>
      <c r="I38" s="939">
        <v>0.49865979031656094</v>
      </c>
      <c r="J38" s="1057">
        <v>0.45660436503271817</v>
      </c>
      <c r="K38" s="1057">
        <v>0.46529512804497192</v>
      </c>
      <c r="L38" s="1057">
        <v>0.47130567769069009</v>
      </c>
      <c r="M38" s="1057">
        <v>0.51132099883555437</v>
      </c>
      <c r="N38" s="1057">
        <v>0.49478521116115964</v>
      </c>
      <c r="O38" s="1057">
        <v>0.49456963950896804</v>
      </c>
      <c r="P38" s="1057">
        <v>0.49653886272402564</v>
      </c>
      <c r="Q38" s="1057">
        <v>0.51789467177648663</v>
      </c>
      <c r="R38" s="1057">
        <v>0.52342578710644683</v>
      </c>
      <c r="S38" s="1057">
        <v>0.50773837440023084</v>
      </c>
      <c r="T38" s="1057">
        <v>0.51632327038872727</v>
      </c>
      <c r="U38" s="1057">
        <v>0.48744504880411293</v>
      </c>
      <c r="V38" s="1057">
        <v>0.53728703100269992</v>
      </c>
      <c r="W38" s="1057">
        <v>0.51870132093235566</v>
      </c>
      <c r="X38" s="1057">
        <v>0.55277265873680681</v>
      </c>
      <c r="Y38" s="1057">
        <v>0.51763809938259853</v>
      </c>
      <c r="Z38" s="1057">
        <v>0.49205321963568532</v>
      </c>
      <c r="AA38" s="1057">
        <v>0.50579973525386457</v>
      </c>
      <c r="AB38" s="1057">
        <v>0.50147641947186361</v>
      </c>
      <c r="AC38" s="1057">
        <v>0.51523282770202439</v>
      </c>
      <c r="AD38" s="1057">
        <v>0.48857009242957744</v>
      </c>
      <c r="AE38" s="1057">
        <v>0.52334582136765839</v>
      </c>
      <c r="AF38" s="1057">
        <v>0.48409259300837471</v>
      </c>
      <c r="AG38" s="1057">
        <v>0.49316838604444257</v>
      </c>
      <c r="AH38" s="1057">
        <v>0.47650481905801056</v>
      </c>
      <c r="AI38" s="1057">
        <v>0.47118860301934934</v>
      </c>
      <c r="AJ38" s="1057">
        <v>0.48253525337585329</v>
      </c>
      <c r="AK38" s="1057">
        <v>0.46392932686325744</v>
      </c>
      <c r="AL38" s="1057">
        <v>0.35222117836532008</v>
      </c>
      <c r="AM38" s="1057">
        <v>0.423326971251342</v>
      </c>
      <c r="AN38" s="1057">
        <v>0.45880850287382541</v>
      </c>
      <c r="AO38" s="1057">
        <v>0.46583582528131645</v>
      </c>
      <c r="AP38" s="1057">
        <v>0.44400000000000001</v>
      </c>
      <c r="AQ38" s="1057">
        <v>0.46500000000000002</v>
      </c>
      <c r="AR38" s="1057">
        <v>0.442</v>
      </c>
      <c r="AS38" s="1057">
        <v>0.495</v>
      </c>
      <c r="AT38" s="1057">
        <v>0.48199999999999998</v>
      </c>
      <c r="AU38" s="1057">
        <v>0.46300000000000002</v>
      </c>
      <c r="AV38" s="1057">
        <v>0.44700000000000001</v>
      </c>
      <c r="AW38" s="1057">
        <v>0.46200000000000002</v>
      </c>
      <c r="AX38" s="969"/>
      <c r="AY38" s="1057">
        <v>0.47784821824634038</v>
      </c>
      <c r="AZ38" s="1057">
        <v>0.50114489504463899</v>
      </c>
      <c r="BA38" s="2010">
        <v>-2.329667679829861</v>
      </c>
      <c r="BB38" s="975"/>
      <c r="BC38" s="1251"/>
      <c r="BD38" s="1057">
        <v>0.47784821824634038</v>
      </c>
      <c r="BE38" s="1057">
        <v>0.50114489504463899</v>
      </c>
      <c r="BF38" s="1057">
        <v>0.5092440760428868</v>
      </c>
      <c r="BG38" s="1057">
        <v>0.5314289800150156</v>
      </c>
      <c r="BH38" s="1057">
        <v>0.5037405357671485</v>
      </c>
      <c r="BI38" s="1057">
        <v>0.49888220932078664</v>
      </c>
      <c r="BJ38" s="1057">
        <f>BJ20/BJ16</f>
        <v>0.47362680837868759</v>
      </c>
      <c r="BK38" s="1057">
        <f>BK20/BK16</f>
        <v>0.43124579671157903</v>
      </c>
      <c r="BL38" s="1057">
        <v>0.46418091977184328</v>
      </c>
      <c r="BM38" s="1057">
        <v>0.46500000000000002</v>
      </c>
      <c r="BN38" s="1352">
        <v>0.46800000000000003</v>
      </c>
      <c r="BO38" s="1352">
        <v>0.47399999999999998</v>
      </c>
      <c r="BP38" s="1352">
        <v>0.47</v>
      </c>
      <c r="BQ38" s="1251"/>
      <c r="BS38" s="1181"/>
      <c r="BV38" s="1181"/>
    </row>
    <row r="39" spans="1:74" ht="13.5" customHeight="1" x14ac:dyDescent="0.2">
      <c r="A39" s="1246" t="s">
        <v>207</v>
      </c>
      <c r="B39" s="1244"/>
      <c r="C39" s="2010">
        <v>-0.31818903773357388</v>
      </c>
      <c r="D39" s="975"/>
      <c r="E39" s="926"/>
      <c r="F39" s="939" t="e">
        <v>#DIV/0!</v>
      </c>
      <c r="G39" s="939" t="e">
        <v>#DIV/0!</v>
      </c>
      <c r="H39" s="939" t="e">
        <v>#DIV/0!</v>
      </c>
      <c r="I39" s="939">
        <v>0.60265327587961859</v>
      </c>
      <c r="J39" s="1057">
        <v>0.58453822342384698</v>
      </c>
      <c r="K39" s="1057">
        <v>0.57175202998126173</v>
      </c>
      <c r="L39" s="1057">
        <v>0.57598929458994452</v>
      </c>
      <c r="M39" s="1057">
        <v>0.60583516625695433</v>
      </c>
      <c r="N39" s="1057">
        <v>0.59977629311647873</v>
      </c>
      <c r="O39" s="1057">
        <v>0.58531149396823146</v>
      </c>
      <c r="P39" s="1057">
        <v>0.58779277428327592</v>
      </c>
      <c r="Q39" s="1057">
        <v>0.61874150080356038</v>
      </c>
      <c r="R39" s="1057">
        <v>0.6479572713643178</v>
      </c>
      <c r="S39" s="1057">
        <v>0.61070024171146142</v>
      </c>
      <c r="T39" s="1057">
        <v>0.62462622373325682</v>
      </c>
      <c r="U39" s="1057">
        <v>0.62808285522688323</v>
      </c>
      <c r="V39" s="1057">
        <v>0.64655680724948017</v>
      </c>
      <c r="W39" s="1057">
        <v>0.6104533394197027</v>
      </c>
      <c r="X39" s="1057">
        <v>0.64781928854637849</v>
      </c>
      <c r="Y39" s="1057">
        <v>0.61838061304974568</v>
      </c>
      <c r="Z39" s="1057">
        <v>0.57879208938462412</v>
      </c>
      <c r="AA39" s="1057">
        <v>0.58291265621143795</v>
      </c>
      <c r="AB39" s="1057">
        <v>0.57164852779886943</v>
      </c>
      <c r="AC39" s="1057">
        <v>0.58711644123176898</v>
      </c>
      <c r="AD39" s="1057">
        <v>0.56511333626760563</v>
      </c>
      <c r="AE39" s="1057">
        <v>0.57583929794894972</v>
      </c>
      <c r="AF39" s="1057">
        <v>0.59224499876512715</v>
      </c>
      <c r="AG39" s="1057">
        <v>0.57540195310017583</v>
      </c>
      <c r="AH39" s="1057">
        <v>0.57785051827605016</v>
      </c>
      <c r="AI39" s="1057">
        <v>0.54879863916648952</v>
      </c>
      <c r="AJ39" s="1057">
        <v>0.59116049628780709</v>
      </c>
      <c r="AK39" s="1057">
        <v>0.56959064327485376</v>
      </c>
      <c r="AL39" s="1057">
        <v>0.47314454435646219</v>
      </c>
      <c r="AM39" s="1057">
        <v>0.5144936180365024</v>
      </c>
      <c r="AN39" s="1057">
        <v>0.53811239850378612</v>
      </c>
      <c r="AO39" s="1057">
        <v>0.53119112232727772</v>
      </c>
      <c r="AP39" s="1057">
        <v>0.53</v>
      </c>
      <c r="AQ39" s="1057">
        <v>0.51900000000000002</v>
      </c>
      <c r="AR39" s="1057">
        <v>0.503</v>
      </c>
      <c r="AS39" s="1057">
        <v>0.54800000000000004</v>
      </c>
      <c r="AT39" s="1057">
        <v>0.53900000000000003</v>
      </c>
      <c r="AU39" s="1057">
        <v>0.50700000000000001</v>
      </c>
      <c r="AV39" s="1057">
        <v>0.499</v>
      </c>
      <c r="AW39" s="1057">
        <v>0.50900000000000001</v>
      </c>
      <c r="AX39" s="969"/>
      <c r="AY39" s="1057">
        <v>0.58552972053822272</v>
      </c>
      <c r="AZ39" s="1057">
        <v>0.5983851793934849</v>
      </c>
      <c r="BA39" s="2010">
        <v>-1.2855458855262181</v>
      </c>
      <c r="BB39" s="975"/>
      <c r="BC39" s="1251"/>
      <c r="BD39" s="1057">
        <v>0.58552972053822272</v>
      </c>
      <c r="BE39" s="1057">
        <v>0.5983851793934849</v>
      </c>
      <c r="BF39" s="1057">
        <v>0.62871429858545813</v>
      </c>
      <c r="BG39" s="1057">
        <v>0.63042436809552749</v>
      </c>
      <c r="BH39" s="1057">
        <v>0.58030235370265371</v>
      </c>
      <c r="BI39" s="1057">
        <v>0.57553990791636089</v>
      </c>
      <c r="BJ39" s="1057">
        <f>(BJ20+BJ21)/BJ16</f>
        <v>0.57089699859927501</v>
      </c>
      <c r="BK39" s="1057">
        <f>(BK20+BK21)/BK16</f>
        <v>0.51716680967510031</v>
      </c>
      <c r="BL39" s="1057">
        <v>0.5264543786903868</v>
      </c>
      <c r="BM39" s="1057">
        <v>0.51500000000000001</v>
      </c>
      <c r="BN39" s="1352">
        <v>0.52500000000000002</v>
      </c>
      <c r="BO39" s="1352">
        <v>0.53600000000000003</v>
      </c>
      <c r="BP39" s="1352">
        <v>0.52800000000000002</v>
      </c>
      <c r="BQ39" s="1251"/>
      <c r="BS39" s="1181"/>
      <c r="BV39" s="1181"/>
    </row>
    <row r="40" spans="1:74" ht="12.75" customHeight="1" x14ac:dyDescent="0.2">
      <c r="A40" s="1244" t="s">
        <v>77</v>
      </c>
      <c r="B40" s="1244"/>
      <c r="C40" s="2010">
        <v>1.407794692759029</v>
      </c>
      <c r="D40" s="975"/>
      <c r="E40" s="926"/>
      <c r="F40" s="939" t="e">
        <v>#DIV/0!</v>
      </c>
      <c r="G40" s="939" t="e">
        <v>#DIV/0!</v>
      </c>
      <c r="H40" s="939" t="e">
        <v>#DIV/0!</v>
      </c>
      <c r="I40" s="939">
        <v>0.27459030298917653</v>
      </c>
      <c r="J40" s="1057">
        <v>0.33019865992711883</v>
      </c>
      <c r="K40" s="1057">
        <v>0.34111492816989381</v>
      </c>
      <c r="L40" s="1057">
        <v>0.29137832154463772</v>
      </c>
      <c r="M40" s="1057">
        <v>0.26051235606158624</v>
      </c>
      <c r="N40" s="1057">
        <v>0.3015810635146165</v>
      </c>
      <c r="O40" s="1057">
        <v>0.34365160788198251</v>
      </c>
      <c r="P40" s="1057">
        <v>0.31406264816512314</v>
      </c>
      <c r="Q40" s="1057">
        <v>0.31929163060946963</v>
      </c>
      <c r="R40" s="1057">
        <v>0.31784107946026985</v>
      </c>
      <c r="S40" s="1057">
        <v>0.39835491900862224</v>
      </c>
      <c r="T40" s="1057">
        <v>0.45582271740466146</v>
      </c>
      <c r="U40" s="1057">
        <v>0.38398778034423664</v>
      </c>
      <c r="V40" s="1057">
        <v>0.32892654315240666</v>
      </c>
      <c r="W40" s="1057">
        <v>0.27796639182904909</v>
      </c>
      <c r="X40" s="1057">
        <v>0.6750991232478919</v>
      </c>
      <c r="Y40" s="1057">
        <v>0.32134794788805177</v>
      </c>
      <c r="Z40" s="1057">
        <v>0.23303576527019054</v>
      </c>
      <c r="AA40" s="1057">
        <v>0.25269794260842254</v>
      </c>
      <c r="AB40" s="1057">
        <v>0.21564160971905846</v>
      </c>
      <c r="AC40" s="1057">
        <v>0.20723582133143492</v>
      </c>
      <c r="AD40" s="1057">
        <v>0.18037522007042253</v>
      </c>
      <c r="AE40" s="1057">
        <v>0.18236417440487471</v>
      </c>
      <c r="AF40" s="1057">
        <v>0.27443364242573925</v>
      </c>
      <c r="AG40" s="1057">
        <v>0.26133836083631667</v>
      </c>
      <c r="AH40" s="1057">
        <v>0.27384979087106748</v>
      </c>
      <c r="AI40" s="1057">
        <v>0.26397077300755806</v>
      </c>
      <c r="AJ40" s="1057">
        <v>0.28613782450545616</v>
      </c>
      <c r="AK40" s="1057">
        <v>0.3045617767823815</v>
      </c>
      <c r="AL40" s="1057">
        <v>0.30438867266138775</v>
      </c>
      <c r="AM40" s="1057">
        <v>0.68483836335440773</v>
      </c>
      <c r="AN40" s="1057">
        <v>0.28095064318949003</v>
      </c>
      <c r="AO40" s="1057">
        <v>0.24116294747031269</v>
      </c>
      <c r="AP40" s="1057">
        <v>1.28</v>
      </c>
      <c r="AQ40" s="1057">
        <v>0.26800000000000002</v>
      </c>
      <c r="AR40" s="1057">
        <v>0.26400000000000001</v>
      </c>
      <c r="AS40" s="1057">
        <v>0.20299999999999996</v>
      </c>
      <c r="AT40" s="1057">
        <v>0.19</v>
      </c>
      <c r="AU40" s="1057">
        <v>0.22199999999999998</v>
      </c>
      <c r="AV40" s="1057">
        <v>0.24399999999999999</v>
      </c>
      <c r="AW40" s="1057">
        <v>0.255</v>
      </c>
      <c r="AX40" s="969"/>
      <c r="AY40" s="1057">
        <v>0.30348957563211593</v>
      </c>
      <c r="AZ40" s="1057">
        <v>0.3187914376211714</v>
      </c>
      <c r="BA40" s="2010">
        <v>-1.5301861989055476</v>
      </c>
      <c r="BB40" s="975"/>
      <c r="BC40" s="1251"/>
      <c r="BD40" s="1057">
        <v>0.30348957563211593</v>
      </c>
      <c r="BE40" s="1057">
        <v>0.3187914376211714</v>
      </c>
      <c r="BF40" s="1057">
        <v>0.38429588251193803</v>
      </c>
      <c r="BG40" s="1057">
        <v>0.40281005326945768</v>
      </c>
      <c r="BH40" s="1057">
        <v>0.22620331856519973</v>
      </c>
      <c r="BI40" s="1057">
        <v>0.21533668885084253</v>
      </c>
      <c r="BJ40" s="1057" t="e">
        <f>(BJ22+BJ23+BJ24+BJ25+BJ26+BJ27+BJ28+BJ29+#REF!)/BJ16</f>
        <v>#REF!</v>
      </c>
      <c r="BK40" s="1057" t="e">
        <f>(BK22+BK23+BK24+BK25+BK26+BK27+BK28+BK29+#REF!)/BK16</f>
        <v>#REF!</v>
      </c>
      <c r="BL40" s="1057">
        <v>0.46870873088826182</v>
      </c>
      <c r="BM40" s="1057">
        <v>0.22599999999999998</v>
      </c>
      <c r="BN40" s="1352">
        <v>0.20299999999999996</v>
      </c>
      <c r="BO40" s="1352">
        <v>0.18</v>
      </c>
      <c r="BP40" s="1352">
        <v>0.14600000000000002</v>
      </c>
      <c r="BQ40" s="1251"/>
      <c r="BS40" s="1181"/>
      <c r="BV40" s="1181"/>
    </row>
    <row r="41" spans="1:74" ht="12.75" customHeight="1" x14ac:dyDescent="0.2">
      <c r="A41" s="1244" t="s">
        <v>78</v>
      </c>
      <c r="B41" s="1244"/>
      <c r="C41" s="2010">
        <v>1.0896056550254607</v>
      </c>
      <c r="D41" s="975"/>
      <c r="E41" s="926"/>
      <c r="F41" s="939" t="e">
        <v>#DIV/0!</v>
      </c>
      <c r="G41" s="939" t="e">
        <v>#DIV/0!</v>
      </c>
      <c r="H41" s="939" t="e">
        <v>#DIV/0!</v>
      </c>
      <c r="I41" s="939">
        <v>0.87724357886879512</v>
      </c>
      <c r="J41" s="1057">
        <v>0.91473688335096592</v>
      </c>
      <c r="K41" s="1057">
        <v>0.91286695815115548</v>
      </c>
      <c r="L41" s="1057">
        <v>0.86736761613458235</v>
      </c>
      <c r="M41" s="1057">
        <v>0.86634752231854051</v>
      </c>
      <c r="N41" s="1057">
        <v>0.90135735663109529</v>
      </c>
      <c r="O41" s="1057">
        <v>0.92896310185021402</v>
      </c>
      <c r="P41" s="1057">
        <v>0.90235542244839895</v>
      </c>
      <c r="Q41" s="1057">
        <v>0.93803313141303002</v>
      </c>
      <c r="R41" s="1057">
        <v>0.96579835082458776</v>
      </c>
      <c r="S41" s="1057">
        <v>1.0090551607200837</v>
      </c>
      <c r="T41" s="1057">
        <v>1.0804489411379183</v>
      </c>
      <c r="U41" s="1057">
        <v>1.01207063557112</v>
      </c>
      <c r="V41" s="1057">
        <v>0.97548335040188683</v>
      </c>
      <c r="W41" s="1057">
        <v>0.88841973124875184</v>
      </c>
      <c r="X41" s="1057">
        <v>1.3229184117942705</v>
      </c>
      <c r="Y41" s="1057">
        <v>0.93972856093779744</v>
      </c>
      <c r="Z41" s="1057">
        <v>0.81182785465481466</v>
      </c>
      <c r="AA41" s="1057">
        <v>0.83561059881986044</v>
      </c>
      <c r="AB41" s="1057">
        <v>0.78729013751792798</v>
      </c>
      <c r="AC41" s="1057">
        <v>0.7943522625632039</v>
      </c>
      <c r="AD41" s="1057">
        <v>0.74548855633802813</v>
      </c>
      <c r="AE41" s="1057">
        <v>0.75820347235382435</v>
      </c>
      <c r="AF41" s="1057">
        <v>0.86667864119086646</v>
      </c>
      <c r="AG41" s="1057">
        <v>0.83674031393649251</v>
      </c>
      <c r="AH41" s="1057">
        <v>0.8517003091471177</v>
      </c>
      <c r="AI41" s="1057">
        <v>0.81276941217404752</v>
      </c>
      <c r="AJ41" s="1057">
        <v>0.8772983207932632</v>
      </c>
      <c r="AK41" s="1057">
        <v>0.87515242005723526</v>
      </c>
      <c r="AL41" s="1057">
        <v>0.77753321701784994</v>
      </c>
      <c r="AM41" s="1057">
        <v>1.1993319813909102</v>
      </c>
      <c r="AN41" s="1057">
        <v>0.81906304169327615</v>
      </c>
      <c r="AO41" s="1057">
        <v>0.77235406979759047</v>
      </c>
      <c r="AP41" s="1057">
        <v>1.81</v>
      </c>
      <c r="AQ41" s="1057">
        <v>0.78700000000000003</v>
      </c>
      <c r="AR41" s="1057">
        <v>0.76700000000000002</v>
      </c>
      <c r="AS41" s="1057">
        <v>0.751</v>
      </c>
      <c r="AT41" s="1057">
        <v>0.72899999999999998</v>
      </c>
      <c r="AU41" s="1057">
        <v>0.72899999999999998</v>
      </c>
      <c r="AV41" s="1057">
        <v>0.74299999999999999</v>
      </c>
      <c r="AW41" s="1057">
        <v>0.76400000000000001</v>
      </c>
      <c r="AX41" s="969"/>
      <c r="AY41" s="1057">
        <v>0.88901929617033859</v>
      </c>
      <c r="AZ41" s="1057">
        <v>0.91717661701465625</v>
      </c>
      <c r="BA41" s="2010">
        <v>-2.8157320844317657</v>
      </c>
      <c r="BB41" s="975"/>
      <c r="BC41" s="1251"/>
      <c r="BD41" s="1057">
        <v>0.88901929617033859</v>
      </c>
      <c r="BE41" s="1057">
        <v>0.91717661701465625</v>
      </c>
      <c r="BF41" s="1057">
        <v>1.0130101810973962</v>
      </c>
      <c r="BG41" s="1057">
        <v>1.0332344213649851</v>
      </c>
      <c r="BH41" s="1057">
        <v>0.80650567226785352</v>
      </c>
      <c r="BI41" s="1057">
        <v>0.79087659676720345</v>
      </c>
      <c r="BJ41" s="1057">
        <f>BJ30/BJ16</f>
        <v>0.85146434566897977</v>
      </c>
      <c r="BK41" s="1057">
        <f>BK30/BK16</f>
        <v>0.86835300665568982</v>
      </c>
      <c r="BL41" s="1057">
        <v>0.99516310957864862</v>
      </c>
      <c r="BM41" s="1057">
        <v>0.74099999999999999</v>
      </c>
      <c r="BN41" s="1352">
        <v>0.72799999999999998</v>
      </c>
      <c r="BO41" s="1352">
        <v>0.71599999999999997</v>
      </c>
      <c r="BP41" s="1352">
        <v>0.67400000000000004</v>
      </c>
      <c r="BQ41" s="1251"/>
      <c r="BS41" s="1181"/>
      <c r="BV41" s="1181"/>
    </row>
    <row r="42" spans="1:74" ht="12.75" customHeight="1" x14ac:dyDescent="0.2">
      <c r="A42" s="1246" t="s">
        <v>178</v>
      </c>
      <c r="B42" s="1244"/>
      <c r="C42" s="2010">
        <v>-1.0896056550254607</v>
      </c>
      <c r="D42" s="975"/>
      <c r="E42" s="926"/>
      <c r="F42" s="939" t="e">
        <v>#DIV/0!</v>
      </c>
      <c r="G42" s="939" t="e">
        <v>#DIV/0!</v>
      </c>
      <c r="H42" s="939" t="e">
        <v>#DIV/0!</v>
      </c>
      <c r="I42" s="939">
        <v>0.12275642113120483</v>
      </c>
      <c r="J42" s="1057">
        <v>8.5263116649034132E-2</v>
      </c>
      <c r="K42" s="1057">
        <v>8.7133041848844475E-2</v>
      </c>
      <c r="L42" s="1057">
        <v>0.1326323838654177</v>
      </c>
      <c r="M42" s="1057">
        <v>0.13365247768145944</v>
      </c>
      <c r="N42" s="1057">
        <v>9.8642643368904742E-2</v>
      </c>
      <c r="O42" s="1057">
        <v>7.1036898149785976E-2</v>
      </c>
      <c r="P42" s="1057">
        <v>9.814457755160097E-2</v>
      </c>
      <c r="Q42" s="1057">
        <v>6.196686858696996E-2</v>
      </c>
      <c r="R42" s="1057">
        <v>3.4201649175412296E-2</v>
      </c>
      <c r="S42" s="1057">
        <v>-9.0551607200836971E-3</v>
      </c>
      <c r="T42" s="1057">
        <v>-8.0448941137918326E-2</v>
      </c>
      <c r="U42" s="1057">
        <v>-1.2070635571119887E-2</v>
      </c>
      <c r="V42" s="1057">
        <v>2.4516649598113147E-2</v>
      </c>
      <c r="W42" s="1057">
        <v>0.11158026875124818</v>
      </c>
      <c r="X42" s="1057">
        <v>-0.32291841179427039</v>
      </c>
      <c r="Y42" s="1057">
        <v>6.0271439062202517E-2</v>
      </c>
      <c r="Z42" s="1057">
        <v>0.18817214534518531</v>
      </c>
      <c r="AA42" s="1057">
        <v>0.16438940118013956</v>
      </c>
      <c r="AB42" s="1057">
        <v>0.21270986248207205</v>
      </c>
      <c r="AC42" s="1057">
        <v>0.2056477374367961</v>
      </c>
      <c r="AD42" s="1057">
        <v>0.25451144366197181</v>
      </c>
      <c r="AE42" s="1057">
        <v>0.2417965276461756</v>
      </c>
      <c r="AF42" s="1057">
        <v>0.13332135880913357</v>
      </c>
      <c r="AG42" s="1057">
        <v>0.16325968606350752</v>
      </c>
      <c r="AH42" s="1057">
        <v>0.14829969085288233</v>
      </c>
      <c r="AI42" s="1057">
        <v>0.18723058782595248</v>
      </c>
      <c r="AJ42" s="1057">
        <v>0.12270167920673676</v>
      </c>
      <c r="AK42" s="1057">
        <v>0.12484757994276471</v>
      </c>
      <c r="AL42" s="1057">
        <v>0.22246678298215006</v>
      </c>
      <c r="AM42" s="1057">
        <v>-0.19933198139091018</v>
      </c>
      <c r="AN42" s="1057">
        <v>0.18093695830672385</v>
      </c>
      <c r="AO42" s="1057">
        <v>0.22764593020240956</v>
      </c>
      <c r="AP42" s="1057">
        <v>-0.81</v>
      </c>
      <c r="AQ42" s="1057">
        <v>0.21299999999999997</v>
      </c>
      <c r="AR42" s="1057">
        <v>0.23299999999999998</v>
      </c>
      <c r="AS42" s="1057">
        <v>0.249</v>
      </c>
      <c r="AT42" s="1057">
        <v>0.27100000000000002</v>
      </c>
      <c r="AU42" s="1057">
        <v>0.27100000000000002</v>
      </c>
      <c r="AV42" s="1057">
        <v>0.25700000000000001</v>
      </c>
      <c r="AW42" s="1057">
        <v>0.23599999999999999</v>
      </c>
      <c r="AX42" s="969"/>
      <c r="AY42" s="1057">
        <v>0.1109807038296614</v>
      </c>
      <c r="AZ42" s="1057">
        <v>8.2823382985343752E-2</v>
      </c>
      <c r="BA42" s="2010">
        <v>2.8157320844317644</v>
      </c>
      <c r="BB42" s="975"/>
      <c r="BC42" s="1251"/>
      <c r="BD42" s="1057">
        <v>0.1109807038296614</v>
      </c>
      <c r="BE42" s="1057">
        <v>8.2823382985343752E-2</v>
      </c>
      <c r="BF42" s="1057">
        <v>-1.3010181097396161E-2</v>
      </c>
      <c r="BG42" s="1057">
        <v>-3.323442136498516E-2</v>
      </c>
      <c r="BH42" s="1057">
        <v>0.19349432773214653</v>
      </c>
      <c r="BI42" s="1057">
        <v>0.20912340323279655</v>
      </c>
      <c r="BJ42" s="1057">
        <f>BJ31/BJ16</f>
        <v>0.14853565433102017</v>
      </c>
      <c r="BK42" s="1057">
        <f>BK31/BK16</f>
        <v>0.13164699334431021</v>
      </c>
      <c r="BL42" s="1057">
        <v>4.8368904213513591E-3</v>
      </c>
      <c r="BM42" s="1057">
        <v>0.25900000000000001</v>
      </c>
      <c r="BN42" s="1352">
        <v>0.27200000000000002</v>
      </c>
      <c r="BO42" s="1352">
        <v>0.28400000000000003</v>
      </c>
      <c r="BP42" s="1352">
        <v>0.32599999999999996</v>
      </c>
      <c r="BQ42" s="1251"/>
      <c r="BS42" s="1181"/>
      <c r="BV42" s="1181"/>
    </row>
    <row r="43" spans="1:74" ht="12.75" customHeight="1" x14ac:dyDescent="0.2">
      <c r="A43" s="1246" t="s">
        <v>79</v>
      </c>
      <c r="B43" s="1244"/>
      <c r="C43" s="2010">
        <v>2.4659749745317998</v>
      </c>
      <c r="D43" s="975"/>
      <c r="E43" s="926"/>
      <c r="F43" s="939" t="e">
        <v>#DIV/0!</v>
      </c>
      <c r="G43" s="939" t="e">
        <v>#DIV/0!</v>
      </c>
      <c r="H43" s="939" t="e">
        <v>#DIV/0!</v>
      </c>
      <c r="I43" s="939">
        <v>1.2044922471414515E-2</v>
      </c>
      <c r="J43" s="1057">
        <v>-0.1268367226989538</v>
      </c>
      <c r="K43" s="1057">
        <v>-9.2129918800749527E-2</v>
      </c>
      <c r="L43" s="1057">
        <v>-6.3773657044542159E-2</v>
      </c>
      <c r="M43" s="1057">
        <v>-1.261482727390348E-2</v>
      </c>
      <c r="N43" s="1057">
        <v>-3.866501405725687E-2</v>
      </c>
      <c r="O43" s="1057">
        <v>-6.3183217179042697E-2</v>
      </c>
      <c r="P43" s="1057">
        <v>-5.5789107690362549E-2</v>
      </c>
      <c r="Q43" s="1057">
        <v>-7.0218815675608851E-2</v>
      </c>
      <c r="R43" s="1057">
        <v>-9.9325337331334335E-2</v>
      </c>
      <c r="S43" s="1057">
        <v>-0.16804358021573651</v>
      </c>
      <c r="T43" s="1057">
        <v>-0.21078933355179619</v>
      </c>
      <c r="U43" s="1057">
        <v>-0.19119290663884955</v>
      </c>
      <c r="V43" s="1057">
        <v>-0.2343667566644943</v>
      </c>
      <c r="W43" s="1057">
        <v>-0.13109469059370632</v>
      </c>
      <c r="X43" s="1057">
        <v>-0.58041547997989618</v>
      </c>
      <c r="Y43" s="1057">
        <v>-0.19607256507193951</v>
      </c>
      <c r="Z43" s="1057">
        <v>-1.3342977330262481E-2</v>
      </c>
      <c r="AA43" s="1057">
        <v>-2.1291871396199324E-2</v>
      </c>
      <c r="AB43" s="1057">
        <v>4.0812452543659831E-2</v>
      </c>
      <c r="AC43" s="1057">
        <v>4.6401255864045414E-2</v>
      </c>
      <c r="AD43" s="1057">
        <v>0.12546764964788731</v>
      </c>
      <c r="AE43" s="1057">
        <v>0.11870435429087887</v>
      </c>
      <c r="AF43" s="1057">
        <v>-7.7145872156986012E-2</v>
      </c>
      <c r="AG43" s="1057">
        <v>-3.5948058550638678E-2</v>
      </c>
      <c r="AH43" s="1057">
        <v>-1.9458083287870524E-2</v>
      </c>
      <c r="AI43" s="1057">
        <v>-1.6817118667001719E-3</v>
      </c>
      <c r="AJ43" s="1057">
        <v>-8.2066869300911852E-2</v>
      </c>
      <c r="AK43" s="975" t="s">
        <v>177</v>
      </c>
      <c r="AL43" s="975" t="s">
        <v>177</v>
      </c>
      <c r="AM43" s="975" t="s">
        <v>177</v>
      </c>
      <c r="AN43" s="975" t="s">
        <v>177</v>
      </c>
      <c r="AO43" s="975" t="s">
        <v>177</v>
      </c>
      <c r="AP43" s="975" t="s">
        <v>177</v>
      </c>
      <c r="AQ43" s="975" t="s">
        <v>177</v>
      </c>
      <c r="AR43" s="975" t="s">
        <v>177</v>
      </c>
      <c r="AS43" s="975"/>
      <c r="AT43" s="975"/>
      <c r="AU43" s="975"/>
      <c r="AV43" s="975"/>
      <c r="AW43" s="975"/>
      <c r="AX43" s="2012"/>
      <c r="AY43" s="1057">
        <v>-7.0743383114002661E-2</v>
      </c>
      <c r="AZ43" s="1057">
        <v>-5.6662331756276975E-2</v>
      </c>
      <c r="BA43" s="2010">
        <v>-1.4081051357725687</v>
      </c>
      <c r="BB43" s="975"/>
      <c r="BC43" s="1517"/>
      <c r="BD43" s="1057">
        <v>-7.0743383114002661E-2</v>
      </c>
      <c r="BE43" s="1057">
        <v>-5.6662331756276975E-2</v>
      </c>
      <c r="BF43" s="1057">
        <v>-0.16322191188395352</v>
      </c>
      <c r="BG43" s="1057">
        <v>-0.28703299846269348</v>
      </c>
      <c r="BH43" s="1057">
        <v>1.4184432748127224E-2</v>
      </c>
      <c r="BI43" s="1057">
        <v>5.2057721766667099E-2</v>
      </c>
      <c r="BJ43" s="1057">
        <f>BJ33/BJ16</f>
        <v>-4.2764881366081073E-2</v>
      </c>
      <c r="BK43" s="1074" t="s">
        <v>177</v>
      </c>
      <c r="BL43" s="975" t="s">
        <v>177</v>
      </c>
      <c r="BM43" s="975" t="s">
        <v>177</v>
      </c>
      <c r="BN43" s="975" t="s">
        <v>177</v>
      </c>
      <c r="BO43" s="1074" t="s">
        <v>177</v>
      </c>
      <c r="BP43" s="1352"/>
      <c r="BQ43" s="1251"/>
      <c r="BS43" s="1181"/>
      <c r="BV43" s="1181"/>
    </row>
    <row r="44" spans="1:74" ht="12.75" customHeight="1" x14ac:dyDescent="0.2">
      <c r="A44" s="1244"/>
      <c r="B44" s="1244"/>
      <c r="C44" s="1025"/>
      <c r="D44" s="975"/>
      <c r="E44" s="926"/>
      <c r="F44" s="926"/>
      <c r="G44" s="926"/>
      <c r="H44" s="926"/>
      <c r="I44" s="926"/>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c r="AL44" s="975"/>
      <c r="AM44" s="975"/>
      <c r="AN44" s="975"/>
      <c r="AO44" s="1251"/>
      <c r="AP44" s="1235"/>
      <c r="AQ44" s="1235"/>
      <c r="AR44" s="1235"/>
      <c r="AS44" s="1235"/>
      <c r="AT44" s="1348"/>
      <c r="AU44" s="1348"/>
      <c r="AV44" s="1348"/>
      <c r="AW44" s="1348"/>
      <c r="AX44" s="1251"/>
      <c r="AY44" s="1251"/>
      <c r="AZ44" s="1251"/>
      <c r="BA44" s="1025"/>
      <c r="BB44" s="975"/>
      <c r="BC44" s="1251"/>
      <c r="BD44" s="1251"/>
      <c r="BE44" s="1057"/>
      <c r="BF44" s="1057"/>
      <c r="BG44" s="1057"/>
      <c r="BH44" s="1057"/>
      <c r="BI44" s="1057"/>
      <c r="BJ44" s="1057"/>
      <c r="BK44" s="1251"/>
      <c r="BL44" s="1025"/>
      <c r="BM44" s="1025"/>
      <c r="BN44" s="1353"/>
      <c r="BO44" s="1353"/>
      <c r="BP44" s="1353"/>
      <c r="BQ44" s="1251"/>
      <c r="BS44" s="1181"/>
      <c r="BV44" s="1181"/>
    </row>
    <row r="45" spans="1:74" ht="13.5" customHeight="1" x14ac:dyDescent="0.2">
      <c r="A45" s="969" t="s">
        <v>267</v>
      </c>
      <c r="B45" s="1244"/>
      <c r="C45" s="1025">
        <v>-151</v>
      </c>
      <c r="D45" s="975">
        <v>-0.10641296687808316</v>
      </c>
      <c r="E45" s="926"/>
      <c r="F45" s="931">
        <v>0</v>
      </c>
      <c r="G45" s="931">
        <v>0</v>
      </c>
      <c r="H45" s="931">
        <v>0</v>
      </c>
      <c r="I45" s="931">
        <v>1268</v>
      </c>
      <c r="J45" s="1025">
        <v>1257</v>
      </c>
      <c r="K45" s="1025">
        <v>1262</v>
      </c>
      <c r="L45" s="1025">
        <v>1360</v>
      </c>
      <c r="M45" s="1025">
        <v>1419</v>
      </c>
      <c r="N45" s="1025">
        <v>1561</v>
      </c>
      <c r="O45" s="1025">
        <v>1441</v>
      </c>
      <c r="P45" s="1025">
        <v>1391</v>
      </c>
      <c r="Q45" s="1025">
        <v>1270</v>
      </c>
      <c r="R45" s="1025">
        <v>1204</v>
      </c>
      <c r="S45" s="1025">
        <v>1070</v>
      </c>
      <c r="T45" s="1025">
        <v>935</v>
      </c>
      <c r="U45" s="1025">
        <v>880</v>
      </c>
      <c r="V45" s="1025">
        <v>835</v>
      </c>
      <c r="W45" s="1025">
        <v>791</v>
      </c>
      <c r="X45" s="1025">
        <v>784</v>
      </c>
      <c r="Y45" s="1025">
        <v>709</v>
      </c>
      <c r="Z45" s="1025">
        <v>677</v>
      </c>
      <c r="AA45" s="1025">
        <v>607</v>
      </c>
      <c r="AB45" s="1025">
        <v>574</v>
      </c>
      <c r="AC45" s="1025">
        <v>575</v>
      </c>
      <c r="AD45" s="1025">
        <v>546</v>
      </c>
      <c r="AE45" s="1025">
        <v>514</v>
      </c>
      <c r="AF45" s="1025">
        <v>473</v>
      </c>
      <c r="AG45" s="1025">
        <v>431</v>
      </c>
      <c r="AH45" s="1025">
        <v>445</v>
      </c>
      <c r="AI45" s="1025"/>
      <c r="AJ45" s="1025"/>
      <c r="AK45" s="1025"/>
      <c r="AL45" s="1025"/>
      <c r="AM45" s="1025"/>
      <c r="AN45" s="1025"/>
      <c r="AO45" s="1025"/>
      <c r="AP45" s="1025"/>
      <c r="AQ45" s="1025"/>
      <c r="AR45" s="1025"/>
      <c r="AS45" s="1025"/>
      <c r="AT45" s="1025"/>
      <c r="AU45" s="1025"/>
      <c r="AV45" s="1025"/>
      <c r="AW45" s="1025"/>
      <c r="AX45" s="1251"/>
      <c r="AY45" s="1281">
        <v>1257</v>
      </c>
      <c r="AZ45" s="1281">
        <v>1561</v>
      </c>
      <c r="BA45" s="1025">
        <v>-304</v>
      </c>
      <c r="BB45" s="975">
        <v>-0.19474695707879563</v>
      </c>
      <c r="BC45" s="1251"/>
      <c r="BD45" s="1025">
        <v>1257</v>
      </c>
      <c r="BE45" s="1025">
        <v>1561</v>
      </c>
      <c r="BF45" s="1025">
        <v>1204</v>
      </c>
      <c r="BG45" s="1025">
        <v>835</v>
      </c>
      <c r="BH45" s="1025">
        <v>677</v>
      </c>
      <c r="BI45" s="1025">
        <v>546</v>
      </c>
      <c r="BJ45" s="1025">
        <v>445</v>
      </c>
      <c r="BK45" s="1025">
        <v>393</v>
      </c>
      <c r="BL45" s="1025">
        <v>730</v>
      </c>
      <c r="BM45" s="1025"/>
      <c r="BN45" s="1353"/>
      <c r="BO45" s="1353"/>
      <c r="BP45" s="1353"/>
      <c r="BQ45" s="1251"/>
      <c r="BS45" s="1181"/>
      <c r="BV45" s="1181"/>
    </row>
    <row r="46" spans="1:74" ht="13.5" customHeight="1" x14ac:dyDescent="0.2">
      <c r="A46" s="977" t="s">
        <v>435</v>
      </c>
      <c r="B46" s="1247"/>
      <c r="C46" s="1025">
        <v>-831</v>
      </c>
      <c r="D46" s="975">
        <v>-7.804282494365139E-2</v>
      </c>
      <c r="E46" s="926"/>
      <c r="F46" s="931">
        <v>0</v>
      </c>
      <c r="G46" s="931">
        <v>0</v>
      </c>
      <c r="H46" s="931">
        <v>0</v>
      </c>
      <c r="I46" s="931">
        <v>9817</v>
      </c>
      <c r="J46" s="1025">
        <v>9192</v>
      </c>
      <c r="K46" s="1025">
        <v>9035</v>
      </c>
      <c r="L46" s="1025">
        <v>9481</v>
      </c>
      <c r="M46" s="1025">
        <v>10648</v>
      </c>
      <c r="N46" s="1025">
        <v>10729</v>
      </c>
      <c r="O46" s="1025">
        <v>10310</v>
      </c>
      <c r="P46" s="1025">
        <v>10757</v>
      </c>
      <c r="Q46" s="1025">
        <v>10958</v>
      </c>
      <c r="R46" s="1025">
        <v>10160</v>
      </c>
      <c r="S46" s="1025">
        <v>9536</v>
      </c>
      <c r="T46" s="1025">
        <v>9427</v>
      </c>
      <c r="U46" s="1025">
        <v>9325</v>
      </c>
      <c r="V46" s="1025">
        <v>10429</v>
      </c>
      <c r="W46" s="1025">
        <v>11403</v>
      </c>
      <c r="X46" s="1025">
        <v>13344</v>
      </c>
      <c r="Y46" s="1025">
        <v>13137</v>
      </c>
      <c r="Z46" s="1025">
        <v>14828</v>
      </c>
      <c r="AA46" s="1025">
        <v>14367</v>
      </c>
      <c r="AB46" s="1025">
        <v>14635</v>
      </c>
      <c r="AC46" s="1025">
        <v>15676</v>
      </c>
      <c r="AD46" s="1025">
        <v>16985</v>
      </c>
      <c r="AE46" s="1025">
        <v>16006</v>
      </c>
      <c r="AF46" s="1025">
        <v>13895</v>
      </c>
      <c r="AG46" s="1025">
        <v>12571</v>
      </c>
      <c r="AH46" s="1025">
        <v>12922</v>
      </c>
      <c r="AI46" s="1025">
        <v>12210</v>
      </c>
      <c r="AJ46" s="1025">
        <v>11386</v>
      </c>
      <c r="AK46" s="1025">
        <v>10341</v>
      </c>
      <c r="AL46" s="1025">
        <v>9184</v>
      </c>
      <c r="AM46" s="1025">
        <v>9030</v>
      </c>
      <c r="AN46" s="1025">
        <v>11584</v>
      </c>
      <c r="AO46" s="1025">
        <v>14695</v>
      </c>
      <c r="AP46" s="1025">
        <v>14295</v>
      </c>
      <c r="AQ46" s="1025">
        <v>14860</v>
      </c>
      <c r="AR46" s="1025">
        <v>15288</v>
      </c>
      <c r="AS46" s="1025">
        <v>15701</v>
      </c>
      <c r="AT46" s="1025">
        <v>15014</v>
      </c>
      <c r="AU46" s="1025">
        <v>14121</v>
      </c>
      <c r="AV46" s="1025">
        <v>13826</v>
      </c>
      <c r="AW46" s="1025">
        <v>13942</v>
      </c>
      <c r="AX46" s="1251"/>
      <c r="AY46" s="1281">
        <v>9192</v>
      </c>
      <c r="AZ46" s="1281">
        <v>10729</v>
      </c>
      <c r="BA46" s="1025">
        <v>-1537</v>
      </c>
      <c r="BB46" s="975">
        <v>-0.14325659427719264</v>
      </c>
      <c r="BC46" s="1251"/>
      <c r="BD46" s="1025">
        <v>9192</v>
      </c>
      <c r="BE46" s="1025">
        <v>10729</v>
      </c>
      <c r="BF46" s="1025">
        <v>10160</v>
      </c>
      <c r="BG46" s="1025">
        <v>10429</v>
      </c>
      <c r="BH46" s="1025">
        <v>14828</v>
      </c>
      <c r="BI46" s="1025">
        <v>16985</v>
      </c>
      <c r="BJ46" s="1025">
        <v>12922</v>
      </c>
      <c r="BK46" s="1025">
        <v>9184</v>
      </c>
      <c r="BL46" s="1025">
        <v>14295</v>
      </c>
      <c r="BM46" s="1025">
        <v>15014</v>
      </c>
      <c r="BN46" s="977">
        <v>14310</v>
      </c>
      <c r="BO46" s="977">
        <v>9967</v>
      </c>
      <c r="BP46" s="977">
        <v>8292</v>
      </c>
      <c r="BQ46" s="1251"/>
      <c r="BS46" s="1181"/>
      <c r="BV46" s="1181"/>
    </row>
    <row r="47" spans="1:74" ht="12.75" customHeight="1" x14ac:dyDescent="0.2">
      <c r="A47" s="977"/>
      <c r="B47" s="1247"/>
      <c r="C47" s="1025"/>
      <c r="D47" s="975"/>
      <c r="E47" s="926"/>
      <c r="F47" s="931"/>
      <c r="G47" s="931"/>
      <c r="H47" s="931"/>
      <c r="I47" s="931"/>
      <c r="J47" s="1025"/>
      <c r="K47" s="1025"/>
      <c r="L47" s="1025"/>
      <c r="M47" s="1025"/>
      <c r="N47" s="1025"/>
      <c r="O47" s="1025"/>
      <c r="P47" s="1025"/>
      <c r="Q47" s="1025"/>
      <c r="R47" s="1025"/>
      <c r="S47" s="1025"/>
      <c r="T47" s="1025"/>
      <c r="U47" s="1025"/>
      <c r="V47" s="1025"/>
      <c r="W47" s="1025"/>
      <c r="X47" s="1025"/>
      <c r="Y47" s="1025"/>
      <c r="Z47" s="975"/>
      <c r="AA47" s="975"/>
      <c r="AB47" s="975"/>
      <c r="AC47" s="975"/>
      <c r="AD47" s="975"/>
      <c r="AE47" s="975"/>
      <c r="AF47" s="975"/>
      <c r="AG47" s="975"/>
      <c r="AH47" s="1025"/>
      <c r="AI47" s="1025"/>
      <c r="AJ47" s="1025"/>
      <c r="AK47" s="1025"/>
      <c r="AL47" s="1025"/>
      <c r="AM47" s="1025"/>
      <c r="AN47" s="1025"/>
      <c r="AO47" s="1025"/>
      <c r="AP47" s="1025"/>
      <c r="AQ47" s="1025"/>
      <c r="AR47" s="1025"/>
      <c r="AS47" s="1025"/>
      <c r="AT47" s="1025"/>
      <c r="AU47" s="1025"/>
      <c r="AV47" s="1025"/>
      <c r="AW47" s="1025"/>
      <c r="AX47" s="1251"/>
      <c r="AY47" s="1251"/>
      <c r="AZ47" s="1251"/>
      <c r="BA47" s="1025"/>
      <c r="BB47" s="975"/>
      <c r="BC47" s="1251"/>
      <c r="BD47" s="975"/>
      <c r="BE47" s="975"/>
      <c r="BF47" s="975"/>
      <c r="BG47" s="975"/>
      <c r="BH47" s="975"/>
      <c r="BI47" s="975"/>
      <c r="BJ47" s="975"/>
      <c r="BK47" s="975"/>
      <c r="BL47" s="975"/>
      <c r="BM47" s="1025"/>
      <c r="BN47" s="1244"/>
      <c r="BO47" s="1244"/>
      <c r="BP47" s="1244"/>
      <c r="BQ47" s="1251"/>
      <c r="BS47" s="1181"/>
      <c r="BV47" s="1181"/>
    </row>
    <row r="48" spans="1:74" ht="12.75" customHeight="1" x14ac:dyDescent="0.2">
      <c r="A48" s="1246" t="s">
        <v>88</v>
      </c>
      <c r="B48" s="1247"/>
      <c r="C48" s="1025">
        <v>-35</v>
      </c>
      <c r="D48" s="975">
        <v>-9.2838196286472149E-2</v>
      </c>
      <c r="E48" s="926"/>
      <c r="F48" s="931">
        <v>0</v>
      </c>
      <c r="G48" s="931">
        <v>0</v>
      </c>
      <c r="H48" s="931">
        <v>0</v>
      </c>
      <c r="I48" s="931">
        <v>342</v>
      </c>
      <c r="J48" s="1025">
        <v>354</v>
      </c>
      <c r="K48" s="1025">
        <v>361</v>
      </c>
      <c r="L48" s="1025">
        <v>379</v>
      </c>
      <c r="M48" s="1025">
        <v>377</v>
      </c>
      <c r="N48" s="1025">
        <v>400</v>
      </c>
      <c r="O48" s="1025">
        <v>405</v>
      </c>
      <c r="P48" s="1025">
        <v>412</v>
      </c>
      <c r="Q48" s="1025">
        <v>407</v>
      </c>
      <c r="R48" s="1025">
        <v>420</v>
      </c>
      <c r="S48" s="1025">
        <v>425</v>
      </c>
      <c r="T48" s="1025">
        <v>430</v>
      </c>
      <c r="U48" s="1025">
        <v>448</v>
      </c>
      <c r="V48" s="1025">
        <v>461</v>
      </c>
      <c r="W48" s="1025">
        <v>493</v>
      </c>
      <c r="X48" s="1025">
        <v>617</v>
      </c>
      <c r="Y48" s="1025">
        <v>662</v>
      </c>
      <c r="Z48" s="1025">
        <v>684</v>
      </c>
      <c r="AA48" s="1025">
        <v>699</v>
      </c>
      <c r="AB48" s="1025">
        <v>686</v>
      </c>
      <c r="AC48" s="1025">
        <v>666</v>
      </c>
      <c r="AD48" s="1025">
        <v>684</v>
      </c>
      <c r="AE48" s="1025">
        <v>671</v>
      </c>
      <c r="AF48" s="1025">
        <v>665</v>
      </c>
      <c r="AG48" s="1025">
        <v>689</v>
      </c>
      <c r="AH48" s="1025">
        <v>680</v>
      </c>
      <c r="AI48" s="1025">
        <v>707</v>
      </c>
      <c r="AJ48" s="1025">
        <v>698</v>
      </c>
      <c r="AK48" s="1025">
        <v>688</v>
      </c>
      <c r="AL48" s="1025">
        <v>700</v>
      </c>
      <c r="AM48" s="1025">
        <v>725</v>
      </c>
      <c r="AN48" s="1025">
        <v>744</v>
      </c>
      <c r="AO48" s="1025">
        <v>760</v>
      </c>
      <c r="AP48" s="1025">
        <v>762</v>
      </c>
      <c r="AQ48" s="1025">
        <v>772</v>
      </c>
      <c r="AR48" s="1025">
        <v>784</v>
      </c>
      <c r="AS48" s="1025">
        <v>757</v>
      </c>
      <c r="AT48" s="1025">
        <v>728</v>
      </c>
      <c r="AU48" s="1025">
        <v>725</v>
      </c>
      <c r="AV48" s="1025">
        <v>719</v>
      </c>
      <c r="AW48" s="1025">
        <v>710</v>
      </c>
      <c r="AX48" s="1251"/>
      <c r="AY48" s="1281">
        <v>354</v>
      </c>
      <c r="AZ48" s="1281">
        <v>400</v>
      </c>
      <c r="BA48" s="1025">
        <v>-46</v>
      </c>
      <c r="BB48" s="975">
        <v>-0.115</v>
      </c>
      <c r="BC48" s="1251"/>
      <c r="BD48" s="1025">
        <v>354</v>
      </c>
      <c r="BE48" s="1025">
        <v>400</v>
      </c>
      <c r="BF48" s="1025">
        <v>420</v>
      </c>
      <c r="BG48" s="1025">
        <v>461</v>
      </c>
      <c r="BH48" s="1025">
        <v>684</v>
      </c>
      <c r="BI48" s="1025">
        <v>684</v>
      </c>
      <c r="BJ48" s="1025">
        <v>680</v>
      </c>
      <c r="BK48" s="1025">
        <v>700</v>
      </c>
      <c r="BL48" s="1025">
        <v>762</v>
      </c>
      <c r="BM48" s="1025">
        <v>728</v>
      </c>
      <c r="BN48" s="977">
        <v>689</v>
      </c>
      <c r="BO48" s="977">
        <v>657</v>
      </c>
      <c r="BP48" s="977">
        <v>623</v>
      </c>
      <c r="BQ48" s="1251"/>
      <c r="BS48" s="1181"/>
      <c r="BV48" s="1181"/>
    </row>
    <row r="49" spans="1:74" ht="13.5" customHeight="1" x14ac:dyDescent="0.2">
      <c r="A49" s="1450" t="s">
        <v>263</v>
      </c>
      <c r="B49" s="1246"/>
      <c r="C49" s="1025">
        <v>-9</v>
      </c>
      <c r="D49" s="975">
        <v>-6.1224489795918366E-2</v>
      </c>
      <c r="E49" s="926"/>
      <c r="F49" s="931">
        <v>0</v>
      </c>
      <c r="G49" s="931">
        <v>0</v>
      </c>
      <c r="H49" s="931">
        <v>0</v>
      </c>
      <c r="I49" s="931">
        <v>138</v>
      </c>
      <c r="J49" s="1025">
        <v>139</v>
      </c>
      <c r="K49" s="1025">
        <v>140</v>
      </c>
      <c r="L49" s="1025">
        <v>141</v>
      </c>
      <c r="M49" s="1025">
        <v>147</v>
      </c>
      <c r="N49" s="1025">
        <v>152</v>
      </c>
      <c r="O49" s="1025">
        <v>161</v>
      </c>
      <c r="P49" s="1025">
        <v>162</v>
      </c>
      <c r="Q49" s="1025">
        <v>163</v>
      </c>
      <c r="R49" s="1025">
        <v>160</v>
      </c>
      <c r="S49" s="1025">
        <v>163</v>
      </c>
      <c r="T49" s="1025">
        <v>163</v>
      </c>
      <c r="U49" s="1025">
        <v>173</v>
      </c>
      <c r="V49" s="1025">
        <v>178</v>
      </c>
      <c r="W49" s="1025">
        <v>184</v>
      </c>
      <c r="X49" s="1025">
        <v>231</v>
      </c>
      <c r="Y49" s="1025">
        <v>269</v>
      </c>
      <c r="Z49" s="1025">
        <v>280</v>
      </c>
      <c r="AA49" s="1025">
        <v>278</v>
      </c>
      <c r="AB49" s="1025">
        <v>271</v>
      </c>
      <c r="AC49" s="1025">
        <v>263</v>
      </c>
      <c r="AD49" s="1025">
        <v>271</v>
      </c>
      <c r="AE49" s="1025">
        <v>272</v>
      </c>
      <c r="AF49" s="1025">
        <v>280</v>
      </c>
      <c r="AG49" s="1025">
        <v>290</v>
      </c>
      <c r="AH49" s="1025">
        <v>303</v>
      </c>
      <c r="AI49" s="1025">
        <v>327</v>
      </c>
      <c r="AJ49" s="1025">
        <v>334</v>
      </c>
      <c r="AK49" s="1025">
        <v>335</v>
      </c>
      <c r="AL49" s="1025">
        <v>338</v>
      </c>
      <c r="AM49" s="1025">
        <v>347</v>
      </c>
      <c r="AN49" s="1025">
        <v>341</v>
      </c>
      <c r="AO49" s="1025">
        <v>354</v>
      </c>
      <c r="AP49" s="1025">
        <v>354</v>
      </c>
      <c r="AQ49" s="1025">
        <v>377</v>
      </c>
      <c r="AR49" s="1025">
        <v>378</v>
      </c>
      <c r="AS49" s="1025">
        <v>373</v>
      </c>
      <c r="AT49" s="1025">
        <v>368</v>
      </c>
      <c r="AU49" s="1025">
        <v>368</v>
      </c>
      <c r="AV49" s="1025">
        <v>371</v>
      </c>
      <c r="AW49" s="1025">
        <v>373</v>
      </c>
      <c r="AX49" s="1251"/>
      <c r="AY49" s="1281">
        <v>139</v>
      </c>
      <c r="AZ49" s="1281">
        <v>152</v>
      </c>
      <c r="BA49" s="1025">
        <v>-13</v>
      </c>
      <c r="BB49" s="975">
        <v>-8.5526315789473686E-2</v>
      </c>
      <c r="BC49" s="1251"/>
      <c r="BD49" s="1025">
        <v>139</v>
      </c>
      <c r="BE49" s="1025">
        <v>152</v>
      </c>
      <c r="BF49" s="1025">
        <v>160</v>
      </c>
      <c r="BG49" s="1025">
        <v>178</v>
      </c>
      <c r="BH49" s="1025">
        <v>280</v>
      </c>
      <c r="BI49" s="1025">
        <v>271</v>
      </c>
      <c r="BJ49" s="1025">
        <v>303</v>
      </c>
      <c r="BK49" s="1025">
        <v>338</v>
      </c>
      <c r="BL49" s="1025">
        <v>354</v>
      </c>
      <c r="BM49" s="1025">
        <v>368</v>
      </c>
      <c r="BN49" s="977">
        <v>365</v>
      </c>
      <c r="BO49" s="977">
        <v>343</v>
      </c>
      <c r="BP49" s="977">
        <v>327</v>
      </c>
      <c r="BQ49" s="1251"/>
      <c r="BS49" s="1181"/>
      <c r="BV49" s="1181"/>
    </row>
    <row r="50" spans="1:74" ht="12.75" customHeight="1" x14ac:dyDescent="0.2">
      <c r="A50" s="969"/>
      <c r="B50" s="969"/>
      <c r="C50" s="1251"/>
      <c r="D50" s="1251"/>
      <c r="E50" s="1188"/>
      <c r="F50" s="1188"/>
      <c r="G50" s="1188"/>
      <c r="H50" s="1188"/>
      <c r="I50" s="918"/>
      <c r="J50" s="1251"/>
      <c r="K50" s="1251"/>
      <c r="L50" s="1251"/>
      <c r="M50" s="969"/>
      <c r="N50" s="1251"/>
      <c r="O50" s="1251"/>
      <c r="P50" s="1251"/>
      <c r="Q50" s="969"/>
      <c r="R50" s="1251"/>
      <c r="S50" s="1251"/>
      <c r="T50" s="1251"/>
      <c r="U50" s="969"/>
      <c r="V50" s="1251"/>
      <c r="W50" s="1251"/>
      <c r="X50" s="1251"/>
      <c r="Y50" s="969"/>
      <c r="Z50" s="1251"/>
      <c r="AA50" s="1251"/>
      <c r="AB50" s="1251"/>
      <c r="AC50" s="969"/>
      <c r="AD50" s="1251"/>
      <c r="AE50" s="1251"/>
      <c r="AF50" s="1251"/>
      <c r="AG50" s="969"/>
      <c r="AH50" s="1251"/>
      <c r="AI50" s="1251"/>
      <c r="AJ50" s="1251"/>
      <c r="AK50" s="969"/>
      <c r="AL50" s="1251"/>
      <c r="AM50" s="1251"/>
      <c r="AN50" s="1251"/>
      <c r="AO50" s="969"/>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44"/>
      <c r="BO50" s="1235"/>
      <c r="BP50" s="1235"/>
      <c r="BQ50" s="1251"/>
      <c r="BS50" s="1181"/>
      <c r="BV50" s="1181"/>
    </row>
    <row r="51" spans="1:74" ht="18" customHeight="1" x14ac:dyDescent="0.2">
      <c r="A51" s="1428" t="s">
        <v>252</v>
      </c>
      <c r="B51" s="969"/>
      <c r="C51" s="1235"/>
      <c r="D51" s="1235"/>
      <c r="E51" s="1188"/>
      <c r="F51" s="1188"/>
      <c r="G51" s="1188"/>
      <c r="H51" s="1188"/>
      <c r="I51" s="918"/>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35"/>
      <c r="AS51" s="1235"/>
      <c r="AT51" s="1235"/>
      <c r="AU51" s="1235"/>
      <c r="AV51" s="1235"/>
      <c r="AW51" s="1235"/>
      <c r="AX51" s="1235"/>
      <c r="AY51" s="1235"/>
      <c r="AZ51" s="1235"/>
      <c r="BA51" s="1251"/>
      <c r="BB51" s="1251"/>
      <c r="BC51" s="1235"/>
      <c r="BD51" s="1235"/>
      <c r="BE51" s="1235"/>
      <c r="BF51" s="1235"/>
      <c r="BG51" s="1235"/>
      <c r="BH51" s="1235"/>
      <c r="BI51" s="1235"/>
      <c r="BJ51" s="1235"/>
      <c r="BK51" s="1235"/>
      <c r="BL51" s="1235"/>
      <c r="BM51" s="1235"/>
      <c r="BN51" s="1244"/>
      <c r="BO51" s="1235"/>
      <c r="BP51" s="1235"/>
      <c r="BQ51" s="1251"/>
      <c r="BS51" s="1181"/>
      <c r="BV51" s="1181"/>
    </row>
    <row r="52" spans="1:74" ht="12.75" customHeight="1" x14ac:dyDescent="0.2">
      <c r="A52" s="1429"/>
      <c r="B52" s="969"/>
      <c r="C52" s="1235"/>
      <c r="D52" s="1235"/>
      <c r="E52" s="1188"/>
      <c r="F52" s="1413"/>
      <c r="G52" s="1413"/>
      <c r="H52" s="1413"/>
      <c r="I52" s="1188"/>
      <c r="J52" s="1525"/>
      <c r="K52" s="1525"/>
      <c r="L52" s="1525"/>
      <c r="M52" s="1251"/>
      <c r="N52" s="1525"/>
      <c r="O52" s="1525"/>
      <c r="P52" s="1525"/>
      <c r="Q52" s="1251"/>
      <c r="R52" s="1525"/>
      <c r="S52" s="1525"/>
      <c r="T52" s="1525"/>
      <c r="U52" s="1251"/>
      <c r="V52" s="1525"/>
      <c r="W52" s="1525"/>
      <c r="X52" s="1525"/>
      <c r="Y52" s="1251"/>
      <c r="Z52" s="1525"/>
      <c r="AA52" s="1251"/>
      <c r="AB52" s="1525"/>
      <c r="AC52" s="1251"/>
      <c r="AD52" s="1525"/>
      <c r="AE52" s="1251"/>
      <c r="AF52" s="1525"/>
      <c r="AG52" s="1251"/>
      <c r="AH52" s="1525"/>
      <c r="AI52" s="1251"/>
      <c r="AJ52" s="1525"/>
      <c r="AK52" s="1251"/>
      <c r="AL52" s="1525"/>
      <c r="AM52" s="1251"/>
      <c r="AN52" s="1251"/>
      <c r="AO52" s="1251"/>
      <c r="AP52" s="1251"/>
      <c r="AQ52" s="1251"/>
      <c r="AR52" s="1235"/>
      <c r="AS52" s="1235"/>
      <c r="AT52" s="1235"/>
      <c r="AU52" s="1235"/>
      <c r="AV52" s="1235"/>
      <c r="AW52" s="1235"/>
      <c r="AX52" s="1235"/>
      <c r="AY52" s="1235"/>
      <c r="AZ52" s="1235"/>
      <c r="BA52" s="1251"/>
      <c r="BB52" s="1251"/>
      <c r="BC52" s="1235"/>
      <c r="BD52" s="1235"/>
      <c r="BE52" s="1235"/>
      <c r="BF52" s="1235"/>
      <c r="BG52" s="1235"/>
      <c r="BH52" s="1235"/>
      <c r="BI52" s="1235"/>
      <c r="BJ52" s="1235"/>
      <c r="BK52" s="1235"/>
      <c r="BL52" s="1235"/>
      <c r="BM52" s="1235"/>
      <c r="BN52" s="1349"/>
      <c r="BO52" s="1349"/>
      <c r="BP52" s="1349"/>
      <c r="BQ52" s="1251"/>
      <c r="BS52" s="1181"/>
      <c r="BV52" s="1181"/>
    </row>
    <row r="53" spans="1:74" ht="12.75" customHeight="1" x14ac:dyDescent="0.2">
      <c r="A53" s="968"/>
      <c r="B53" s="969"/>
      <c r="C53" s="2455" t="s">
        <v>456</v>
      </c>
      <c r="D53" s="2456"/>
      <c r="E53" s="919"/>
      <c r="F53" s="921"/>
      <c r="G53" s="921"/>
      <c r="H53" s="921"/>
      <c r="I53" s="2280"/>
      <c r="J53" s="1000"/>
      <c r="K53" s="1000"/>
      <c r="L53" s="1000"/>
      <c r="M53" s="1261"/>
      <c r="N53" s="1000"/>
      <c r="O53" s="1000"/>
      <c r="P53" s="1000"/>
      <c r="Q53" s="1261"/>
      <c r="R53" s="1000"/>
      <c r="S53" s="1000"/>
      <c r="T53" s="1000"/>
      <c r="U53" s="1261"/>
      <c r="V53" s="1000"/>
      <c r="W53" s="1000"/>
      <c r="X53" s="1000"/>
      <c r="Y53" s="1261"/>
      <c r="Z53" s="1262"/>
      <c r="AA53" s="1263"/>
      <c r="AB53" s="1000"/>
      <c r="AC53" s="1261"/>
      <c r="AD53" s="1262"/>
      <c r="AE53" s="1263"/>
      <c r="AF53" s="1000"/>
      <c r="AG53" s="1261"/>
      <c r="AI53" s="1263"/>
      <c r="AJ53" s="964"/>
      <c r="AK53" s="1261"/>
      <c r="AL53" s="1263"/>
      <c r="AN53" s="1000"/>
      <c r="AO53" s="1261"/>
      <c r="AP53" s="1263"/>
      <c r="AQ53" s="1263"/>
      <c r="AR53" s="1263"/>
      <c r="AS53" s="1263"/>
      <c r="AT53" s="1264"/>
      <c r="AU53" s="1261"/>
      <c r="AV53" s="1261"/>
      <c r="AW53" s="1261"/>
      <c r="AX53" s="1265"/>
      <c r="AY53" s="1005" t="s">
        <v>448</v>
      </c>
      <c r="AZ53" s="1006"/>
      <c r="BA53" s="1006" t="s">
        <v>441</v>
      </c>
      <c r="BB53" s="1007"/>
      <c r="BC53" s="1008"/>
      <c r="BD53" s="1009"/>
      <c r="BE53" s="1009"/>
      <c r="BF53" s="1009"/>
      <c r="BG53" s="1009"/>
      <c r="BH53" s="1009"/>
      <c r="BI53" s="1009"/>
      <c r="BJ53" s="1009"/>
      <c r="BK53" s="1009"/>
      <c r="BL53" s="1526"/>
      <c r="BM53" s="1527"/>
      <c r="BN53" s="1009"/>
      <c r="BO53" s="1009"/>
      <c r="BP53" s="1009"/>
      <c r="BQ53" s="1230"/>
      <c r="BS53" s="1181"/>
      <c r="BV53" s="1181"/>
    </row>
    <row r="54" spans="1:74" ht="12.75" customHeight="1" x14ac:dyDescent="0.2">
      <c r="A54" s="968" t="s">
        <v>2</v>
      </c>
      <c r="B54" s="969"/>
      <c r="C54" s="2457" t="s">
        <v>39</v>
      </c>
      <c r="D54" s="2490"/>
      <c r="E54" s="2000"/>
      <c r="F54" s="925" t="s">
        <v>452</v>
      </c>
      <c r="G54" s="925" t="s">
        <v>453</v>
      </c>
      <c r="H54" s="925" t="s">
        <v>454</v>
      </c>
      <c r="I54" s="2281" t="s">
        <v>455</v>
      </c>
      <c r="J54" s="1010" t="s">
        <v>399</v>
      </c>
      <c r="K54" s="1010" t="s">
        <v>398</v>
      </c>
      <c r="L54" s="1010" t="s">
        <v>397</v>
      </c>
      <c r="M54" s="1011" t="s">
        <v>395</v>
      </c>
      <c r="N54" s="1010" t="s">
        <v>373</v>
      </c>
      <c r="O54" s="1010" t="s">
        <v>374</v>
      </c>
      <c r="P54" s="1010" t="s">
        <v>375</v>
      </c>
      <c r="Q54" s="1011" t="s">
        <v>376</v>
      </c>
      <c r="R54" s="1010" t="s">
        <v>330</v>
      </c>
      <c r="S54" s="1010" t="s">
        <v>329</v>
      </c>
      <c r="T54" s="1010" t="s">
        <v>328</v>
      </c>
      <c r="U54" s="1011" t="s">
        <v>326</v>
      </c>
      <c r="V54" s="1010" t="s">
        <v>282</v>
      </c>
      <c r="W54" s="1010" t="s">
        <v>283</v>
      </c>
      <c r="X54" s="1010" t="s">
        <v>284</v>
      </c>
      <c r="Y54" s="1011" t="s">
        <v>285</v>
      </c>
      <c r="Z54" s="1012" t="s">
        <v>220</v>
      </c>
      <c r="AA54" s="1010" t="s">
        <v>221</v>
      </c>
      <c r="AB54" s="1010" t="s">
        <v>222</v>
      </c>
      <c r="AC54" s="1011" t="s">
        <v>219</v>
      </c>
      <c r="AD54" s="1012" t="s">
        <v>185</v>
      </c>
      <c r="AE54" s="1010" t="s">
        <v>186</v>
      </c>
      <c r="AF54" s="1010" t="s">
        <v>187</v>
      </c>
      <c r="AG54" s="1011" t="s">
        <v>188</v>
      </c>
      <c r="AH54" s="1010" t="s">
        <v>118</v>
      </c>
      <c r="AI54" s="1010" t="s">
        <v>117</v>
      </c>
      <c r="AJ54" s="1010" t="s">
        <v>116</v>
      </c>
      <c r="AK54" s="1011" t="s">
        <v>115</v>
      </c>
      <c r="AL54" s="1010" t="s">
        <v>83</v>
      </c>
      <c r="AM54" s="1010" t="s">
        <v>84</v>
      </c>
      <c r="AN54" s="1010" t="s">
        <v>85</v>
      </c>
      <c r="AO54" s="1011" t="s">
        <v>30</v>
      </c>
      <c r="AP54" s="1010" t="s">
        <v>31</v>
      </c>
      <c r="AQ54" s="1010" t="s">
        <v>32</v>
      </c>
      <c r="AR54" s="1010" t="s">
        <v>33</v>
      </c>
      <c r="AS54" s="1010" t="s">
        <v>34</v>
      </c>
      <c r="AT54" s="1013" t="s">
        <v>35</v>
      </c>
      <c r="AU54" s="1011" t="s">
        <v>36</v>
      </c>
      <c r="AV54" s="1011" t="s">
        <v>37</v>
      </c>
      <c r="AW54" s="1011" t="s">
        <v>38</v>
      </c>
      <c r="AX54" s="1014"/>
      <c r="AY54" s="1010" t="s">
        <v>399</v>
      </c>
      <c r="AZ54" s="1010" t="s">
        <v>373</v>
      </c>
      <c r="BA54" s="2485" t="s">
        <v>39</v>
      </c>
      <c r="BB54" s="2458"/>
      <c r="BC54" s="1362"/>
      <c r="BD54" s="1012" t="s">
        <v>438</v>
      </c>
      <c r="BE54" s="1012" t="s">
        <v>385</v>
      </c>
      <c r="BF54" s="1012" t="s">
        <v>332</v>
      </c>
      <c r="BG54" s="1012" t="s">
        <v>287</v>
      </c>
      <c r="BH54" s="1012" t="s">
        <v>224</v>
      </c>
      <c r="BI54" s="1012" t="s">
        <v>120</v>
      </c>
      <c r="BJ54" s="1012" t="s">
        <v>119</v>
      </c>
      <c r="BK54" s="1012" t="s">
        <v>43</v>
      </c>
      <c r="BL54" s="1012" t="s">
        <v>40</v>
      </c>
      <c r="BM54" s="1013" t="s">
        <v>41</v>
      </c>
      <c r="BN54" s="1013" t="s">
        <v>138</v>
      </c>
      <c r="BO54" s="1013" t="s">
        <v>139</v>
      </c>
      <c r="BP54" s="1013" t="s">
        <v>140</v>
      </c>
      <c r="BQ54" s="1230"/>
      <c r="BS54" s="1181"/>
      <c r="BV54" s="1181"/>
    </row>
    <row r="55" spans="1:74" ht="12.75" customHeight="1" x14ac:dyDescent="0.2">
      <c r="A55" s="1250"/>
      <c r="B55" s="1251" t="s">
        <v>4</v>
      </c>
      <c r="C55" s="1432">
        <v>-1443</v>
      </c>
      <c r="D55" s="1056">
        <v>-4.6674860913442875E-2</v>
      </c>
      <c r="E55" s="1187"/>
      <c r="F55" s="1191">
        <v>0</v>
      </c>
      <c r="G55" s="1191">
        <v>0</v>
      </c>
      <c r="H55" s="1191">
        <v>0</v>
      </c>
      <c r="I55" s="2319">
        <v>29473</v>
      </c>
      <c r="J55" s="1280">
        <v>25521</v>
      </c>
      <c r="K55" s="1280">
        <v>25616</v>
      </c>
      <c r="L55" s="1280">
        <v>26155</v>
      </c>
      <c r="M55" s="1546">
        <v>30916</v>
      </c>
      <c r="N55" s="1280">
        <v>33079</v>
      </c>
      <c r="O55" s="1280">
        <v>28267</v>
      </c>
      <c r="P55" s="1280">
        <v>31637</v>
      </c>
      <c r="Q55" s="1546">
        <v>32356</v>
      </c>
      <c r="R55" s="1280">
        <v>32016</v>
      </c>
      <c r="S55" s="1280">
        <v>27719</v>
      </c>
      <c r="T55" s="1280">
        <v>24413</v>
      </c>
      <c r="U55" s="1528">
        <v>26842</v>
      </c>
      <c r="V55" s="1280">
        <v>32223</v>
      </c>
      <c r="W55" s="1280">
        <v>35051</v>
      </c>
      <c r="X55" s="1280">
        <v>35814</v>
      </c>
      <c r="Y55" s="1528">
        <v>36767</v>
      </c>
      <c r="Z55" s="1280">
        <v>52537</v>
      </c>
      <c r="AA55" s="1280">
        <v>44571</v>
      </c>
      <c r="AB55" s="1280">
        <v>47412</v>
      </c>
      <c r="AC55" s="1528">
        <v>54783</v>
      </c>
      <c r="AD55" s="1280">
        <v>72704</v>
      </c>
      <c r="AE55" s="1280">
        <v>68599</v>
      </c>
      <c r="AF55" s="1280">
        <v>44539</v>
      </c>
      <c r="AG55" s="1528">
        <v>47207</v>
      </c>
      <c r="AH55" s="1280">
        <v>54990</v>
      </c>
      <c r="AI55" s="1280">
        <v>51733</v>
      </c>
      <c r="AJ55" s="1280">
        <v>40138</v>
      </c>
      <c r="AK55" s="1528">
        <v>40185</v>
      </c>
      <c r="AL55" s="1545">
        <v>37255</v>
      </c>
      <c r="AM55" s="1280">
        <v>33532</v>
      </c>
      <c r="AN55" s="1280">
        <v>43844</v>
      </c>
      <c r="AO55" s="1528">
        <v>57853</v>
      </c>
      <c r="AP55" s="1238">
        <v>54463</v>
      </c>
      <c r="AQ55" s="1323">
        <v>61166</v>
      </c>
      <c r="AR55" s="1323">
        <v>57415</v>
      </c>
      <c r="AS55" s="1276">
        <v>76083</v>
      </c>
      <c r="AT55" s="1530">
        <v>75876</v>
      </c>
      <c r="AU55" s="1276">
        <v>68831</v>
      </c>
      <c r="AV55" s="1276">
        <v>55626</v>
      </c>
      <c r="AW55" s="1453">
        <v>72286</v>
      </c>
      <c r="AX55" s="1274"/>
      <c r="AY55" s="1280">
        <v>108208</v>
      </c>
      <c r="AZ55" s="1280">
        <v>125339</v>
      </c>
      <c r="BA55" s="1025">
        <v>-17131</v>
      </c>
      <c r="BB55" s="1419">
        <v>-0.13667733107811614</v>
      </c>
      <c r="BC55" s="1235"/>
      <c r="BD55" s="1935">
        <v>108208</v>
      </c>
      <c r="BE55" s="1935">
        <v>125339</v>
      </c>
      <c r="BF55" s="1935">
        <v>110990</v>
      </c>
      <c r="BG55" s="1447">
        <v>139855</v>
      </c>
      <c r="BH55" s="1327">
        <v>199303</v>
      </c>
      <c r="BI55" s="1327">
        <v>233049</v>
      </c>
      <c r="BJ55" s="1327">
        <v>187046</v>
      </c>
      <c r="BK55" s="1327">
        <v>172484</v>
      </c>
      <c r="BL55" s="1471">
        <v>249127</v>
      </c>
      <c r="BM55" s="1530">
        <v>272619</v>
      </c>
      <c r="BN55" s="1530">
        <v>225194</v>
      </c>
      <c r="BO55" s="1530">
        <v>178176</v>
      </c>
      <c r="BP55" s="1530">
        <v>175983</v>
      </c>
      <c r="BQ55" s="1230"/>
      <c r="BS55" s="1181"/>
      <c r="BV55" s="1181"/>
    </row>
    <row r="56" spans="1:74" ht="12.75" customHeight="1" x14ac:dyDescent="0.2">
      <c r="A56" s="1235"/>
      <c r="B56" s="1251" t="s">
        <v>82</v>
      </c>
      <c r="C56" s="1252">
        <v>-929</v>
      </c>
      <c r="D56" s="1371">
        <v>-3.4684886499402628E-2</v>
      </c>
      <c r="E56" s="949"/>
      <c r="F56" s="1206">
        <v>0</v>
      </c>
      <c r="G56" s="1206">
        <v>0</v>
      </c>
      <c r="H56" s="1206">
        <v>0</v>
      </c>
      <c r="I56" s="2291">
        <v>25855</v>
      </c>
      <c r="J56" s="1310">
        <v>23180</v>
      </c>
      <c r="K56" s="1310">
        <v>23384</v>
      </c>
      <c r="L56" s="1310">
        <v>22686</v>
      </c>
      <c r="M56" s="1326">
        <v>26784</v>
      </c>
      <c r="N56" s="1310">
        <v>29816</v>
      </c>
      <c r="O56" s="1310">
        <v>26259</v>
      </c>
      <c r="P56" s="1310">
        <v>28532</v>
      </c>
      <c r="Q56" s="1326">
        <v>30351</v>
      </c>
      <c r="R56" s="1310">
        <v>30921</v>
      </c>
      <c r="S56" s="1310">
        <v>27970</v>
      </c>
      <c r="T56" s="1310">
        <v>26377</v>
      </c>
      <c r="U56" s="1528">
        <v>27166</v>
      </c>
      <c r="V56" s="1310">
        <v>31433</v>
      </c>
      <c r="W56" s="1310">
        <v>31140</v>
      </c>
      <c r="X56" s="1310">
        <v>33812</v>
      </c>
      <c r="Y56" s="1528">
        <v>34551</v>
      </c>
      <c r="Z56" s="1310">
        <v>41751</v>
      </c>
      <c r="AA56" s="1310">
        <v>37244</v>
      </c>
      <c r="AB56" s="1310">
        <v>37327</v>
      </c>
      <c r="AC56" s="1528">
        <v>43517</v>
      </c>
      <c r="AD56" s="1310">
        <v>54200</v>
      </c>
      <c r="AE56" s="1310">
        <v>52012</v>
      </c>
      <c r="AF56" s="1310">
        <v>38601</v>
      </c>
      <c r="AG56" s="1528">
        <v>39500</v>
      </c>
      <c r="AH56" s="1310">
        <v>46835</v>
      </c>
      <c r="AI56" s="1310">
        <v>42047</v>
      </c>
      <c r="AJ56" s="1310">
        <v>35213</v>
      </c>
      <c r="AK56" s="1528">
        <v>35168</v>
      </c>
      <c r="AL56" s="1310">
        <v>28967</v>
      </c>
      <c r="AM56" s="1310">
        <v>34689</v>
      </c>
      <c r="AN56" s="1310">
        <v>35911</v>
      </c>
      <c r="AO56" s="1528">
        <v>44683</v>
      </c>
      <c r="AP56" s="1238">
        <v>43703</v>
      </c>
      <c r="AQ56" s="1323">
        <v>48132</v>
      </c>
      <c r="AR56" s="1323">
        <v>44039</v>
      </c>
      <c r="AS56" s="1276">
        <v>57148</v>
      </c>
      <c r="AT56" s="1282">
        <v>55349</v>
      </c>
      <c r="AU56" s="1276">
        <v>50178</v>
      </c>
      <c r="AV56" s="1276">
        <v>41346</v>
      </c>
      <c r="AW56" s="1276">
        <v>55217</v>
      </c>
      <c r="AX56" s="1274"/>
      <c r="AY56" s="1280">
        <v>96034</v>
      </c>
      <c r="AZ56" s="1280">
        <v>114958</v>
      </c>
      <c r="BA56" s="1025">
        <v>-18924</v>
      </c>
      <c r="BB56" s="1371">
        <v>-0.16461664259990605</v>
      </c>
      <c r="BC56" s="1235"/>
      <c r="BD56" s="1935">
        <v>96034</v>
      </c>
      <c r="BE56" s="1935">
        <v>114958</v>
      </c>
      <c r="BF56" s="1935">
        <v>112434</v>
      </c>
      <c r="BG56" s="1327">
        <v>130936</v>
      </c>
      <c r="BH56" s="1327">
        <v>159839</v>
      </c>
      <c r="BI56" s="1327">
        <v>184313</v>
      </c>
      <c r="BJ56" s="1327">
        <v>159263</v>
      </c>
      <c r="BK56" s="1327">
        <v>144250</v>
      </c>
      <c r="BL56" s="1238">
        <v>193022</v>
      </c>
      <c r="BM56" s="1282">
        <v>202090</v>
      </c>
      <c r="BN56" s="1282">
        <v>163976</v>
      </c>
      <c r="BO56" s="1282">
        <v>127504</v>
      </c>
      <c r="BP56" s="1282">
        <v>118638</v>
      </c>
      <c r="BQ56" s="1230"/>
      <c r="BS56" s="1181"/>
      <c r="BV56" s="1181"/>
    </row>
    <row r="57" spans="1:74" ht="24" x14ac:dyDescent="0.2">
      <c r="A57" s="1235"/>
      <c r="B57" s="1423" t="s">
        <v>179</v>
      </c>
      <c r="C57" s="1252">
        <v>-514</v>
      </c>
      <c r="D57" s="1372">
        <v>-0.12439496611810262</v>
      </c>
      <c r="E57" s="949"/>
      <c r="F57" s="1209">
        <v>0</v>
      </c>
      <c r="G57" s="1209">
        <v>0</v>
      </c>
      <c r="H57" s="1209">
        <v>0</v>
      </c>
      <c r="I57" s="2287">
        <v>3618</v>
      </c>
      <c r="J57" s="1322">
        <v>2341</v>
      </c>
      <c r="K57" s="1322">
        <v>2232</v>
      </c>
      <c r="L57" s="1322">
        <v>3469</v>
      </c>
      <c r="M57" s="1293">
        <v>4132</v>
      </c>
      <c r="N57" s="1322">
        <v>3263</v>
      </c>
      <c r="O57" s="1322">
        <v>2008</v>
      </c>
      <c r="P57" s="1322">
        <v>3105</v>
      </c>
      <c r="Q57" s="1293">
        <v>2005</v>
      </c>
      <c r="R57" s="1322">
        <v>1095</v>
      </c>
      <c r="S57" s="1322">
        <v>-251</v>
      </c>
      <c r="T57" s="1322">
        <v>-1964</v>
      </c>
      <c r="U57" s="1296">
        <v>-324</v>
      </c>
      <c r="V57" s="1322">
        <v>790</v>
      </c>
      <c r="W57" s="1322">
        <v>3911</v>
      </c>
      <c r="X57" s="1322">
        <v>2002</v>
      </c>
      <c r="Y57" s="1296">
        <v>2216</v>
      </c>
      <c r="Z57" s="1322">
        <v>10786</v>
      </c>
      <c r="AA57" s="1322">
        <v>7327</v>
      </c>
      <c r="AB57" s="1322">
        <v>10085</v>
      </c>
      <c r="AC57" s="1296">
        <v>11266</v>
      </c>
      <c r="AD57" s="1322">
        <v>18504</v>
      </c>
      <c r="AE57" s="1322">
        <v>16587</v>
      </c>
      <c r="AF57" s="1322">
        <v>5938</v>
      </c>
      <c r="AG57" s="1296">
        <v>7707</v>
      </c>
      <c r="AH57" s="1322">
        <v>8155</v>
      </c>
      <c r="AI57" s="1322">
        <v>9686</v>
      </c>
      <c r="AJ57" s="1322">
        <v>4925</v>
      </c>
      <c r="AK57" s="1296">
        <v>5017</v>
      </c>
      <c r="AL57" s="1322">
        <v>8288</v>
      </c>
      <c r="AM57" s="1322">
        <v>-1157</v>
      </c>
      <c r="AN57" s="1322">
        <v>7933</v>
      </c>
      <c r="AO57" s="1296">
        <v>13170</v>
      </c>
      <c r="AP57" s="1240">
        <v>10760</v>
      </c>
      <c r="AQ57" s="1322">
        <v>13034</v>
      </c>
      <c r="AR57" s="1322">
        <v>13376</v>
      </c>
      <c r="AS57" s="1293">
        <v>18935</v>
      </c>
      <c r="AT57" s="1314">
        <v>20527</v>
      </c>
      <c r="AU57" s="1293">
        <v>18653</v>
      </c>
      <c r="AV57" s="1293">
        <v>14280</v>
      </c>
      <c r="AW57" s="1293">
        <v>17069</v>
      </c>
      <c r="AX57" s="1297"/>
      <c r="AY57" s="1294">
        <v>12174</v>
      </c>
      <c r="AZ57" s="1294">
        <v>10381</v>
      </c>
      <c r="BA57" s="1025">
        <v>1793</v>
      </c>
      <c r="BB57" s="1372">
        <v>0.17271939119545324</v>
      </c>
      <c r="BC57" s="1235"/>
      <c r="BD57" s="1297">
        <v>12174</v>
      </c>
      <c r="BE57" s="1935">
        <v>10381</v>
      </c>
      <c r="BF57" s="1935">
        <v>-1444</v>
      </c>
      <c r="BG57" s="1297">
        <v>8919</v>
      </c>
      <c r="BH57" s="1297">
        <v>39464</v>
      </c>
      <c r="BI57" s="1297">
        <v>48736</v>
      </c>
      <c r="BJ57" s="1297">
        <v>27783</v>
      </c>
      <c r="BK57" s="1327">
        <v>28234</v>
      </c>
      <c r="BL57" s="1238">
        <v>56105</v>
      </c>
      <c r="BM57" s="1282">
        <v>70529</v>
      </c>
      <c r="BN57" s="1282">
        <v>61218</v>
      </c>
      <c r="BO57" s="1282">
        <v>50672</v>
      </c>
      <c r="BP57" s="1282">
        <v>57345</v>
      </c>
      <c r="BQ57" s="1230"/>
      <c r="BS57" s="1181"/>
      <c r="BV57" s="1181"/>
    </row>
    <row r="58" spans="1:74" x14ac:dyDescent="0.2">
      <c r="A58" s="1235"/>
      <c r="B58" s="1423" t="s">
        <v>74</v>
      </c>
      <c r="C58" s="1254">
        <v>745</v>
      </c>
      <c r="D58" s="1383">
        <v>1.9102564102564104</v>
      </c>
      <c r="E58" s="949"/>
      <c r="F58" s="1224">
        <v>0</v>
      </c>
      <c r="G58" s="1224">
        <v>0</v>
      </c>
      <c r="H58" s="1224">
        <v>0</v>
      </c>
      <c r="I58" s="2289">
        <v>355</v>
      </c>
      <c r="J58" s="1378">
        <v>-3072</v>
      </c>
      <c r="K58" s="1378">
        <v>-2360</v>
      </c>
      <c r="L58" s="1378">
        <v>-1668</v>
      </c>
      <c r="M58" s="1301">
        <v>-390</v>
      </c>
      <c r="N58" s="1378">
        <v>-1279</v>
      </c>
      <c r="O58" s="1378">
        <v>-1786</v>
      </c>
      <c r="P58" s="1378">
        <v>-1765</v>
      </c>
      <c r="Q58" s="1301">
        <v>-2272</v>
      </c>
      <c r="R58" s="1378">
        <v>-3180</v>
      </c>
      <c r="S58" s="1378">
        <v>-4658</v>
      </c>
      <c r="T58" s="1378">
        <v>-5146</v>
      </c>
      <c r="U58" s="1532">
        <v>-5132</v>
      </c>
      <c r="V58" s="1378">
        <v>-7552</v>
      </c>
      <c r="W58" s="1378">
        <v>-4595</v>
      </c>
      <c r="X58" s="1378">
        <v>-7220</v>
      </c>
      <c r="Y58" s="1301">
        <v>-7209</v>
      </c>
      <c r="Z58" s="1378">
        <v>199</v>
      </c>
      <c r="AA58" s="1378">
        <v>-949</v>
      </c>
      <c r="AB58" s="1378">
        <v>1935</v>
      </c>
      <c r="AC58" s="1532">
        <v>2542</v>
      </c>
      <c r="AD58" s="1378">
        <v>9122</v>
      </c>
      <c r="AE58" s="1378">
        <v>8143</v>
      </c>
      <c r="AF58" s="1378"/>
      <c r="AG58" s="1532"/>
      <c r="AH58" s="1378"/>
      <c r="AI58" s="1378"/>
      <c r="AJ58" s="1378"/>
      <c r="AK58" s="1532"/>
      <c r="AL58" s="1378"/>
      <c r="AM58" s="1378"/>
      <c r="AN58" s="1378"/>
      <c r="AO58" s="1532"/>
      <c r="AP58" s="1381"/>
      <c r="AQ58" s="1378"/>
      <c r="AR58" s="1378"/>
      <c r="AS58" s="1301"/>
      <c r="AT58" s="1328"/>
      <c r="AU58" s="1301"/>
      <c r="AV58" s="1301"/>
      <c r="AW58" s="1301"/>
      <c r="AX58" s="1297"/>
      <c r="AY58" s="1378">
        <v>-7490</v>
      </c>
      <c r="AZ58" s="1378">
        <v>-7102</v>
      </c>
      <c r="BA58" s="1378">
        <v>-388</v>
      </c>
      <c r="BB58" s="1383">
        <v>-5.4632497887918893E-2</v>
      </c>
      <c r="BC58" s="1235"/>
      <c r="BD58" s="1328">
        <v>-7490</v>
      </c>
      <c r="BE58" s="2067">
        <v>-7102</v>
      </c>
      <c r="BF58" s="2067">
        <v>-18116</v>
      </c>
      <c r="BG58" s="1552">
        <v>-26576</v>
      </c>
      <c r="BH58" s="1552">
        <v>3727</v>
      </c>
      <c r="BI58" s="1552">
        <v>12132</v>
      </c>
      <c r="BJ58" s="1552" t="e">
        <f>+BJ57-#REF!</f>
        <v>#REF!</v>
      </c>
      <c r="BK58" s="1535">
        <f>+BK57</f>
        <v>28234</v>
      </c>
      <c r="BL58" s="1534">
        <f>+BL57</f>
        <v>56105</v>
      </c>
      <c r="BM58" s="1305"/>
      <c r="BN58" s="1305"/>
      <c r="BO58" s="1305"/>
      <c r="BP58" s="1305"/>
      <c r="BQ58" s="1230"/>
      <c r="BS58" s="1181"/>
      <c r="BV58" s="1181"/>
    </row>
    <row r="59" spans="1:74" ht="12.75" customHeight="1" x14ac:dyDescent="0.2">
      <c r="A59" s="1235"/>
      <c r="B59" s="1251"/>
      <c r="C59" s="1026"/>
      <c r="D59" s="981"/>
      <c r="E59" s="945"/>
      <c r="F59" s="945"/>
      <c r="G59" s="945"/>
      <c r="H59" s="945"/>
      <c r="I59" s="945"/>
      <c r="J59" s="981"/>
      <c r="K59" s="981"/>
      <c r="L59" s="981"/>
      <c r="M59" s="981"/>
      <c r="N59" s="981"/>
      <c r="O59" s="981"/>
      <c r="P59" s="981"/>
      <c r="Q59" s="981"/>
      <c r="R59" s="981"/>
      <c r="S59" s="981"/>
      <c r="T59" s="981"/>
      <c r="U59" s="1251"/>
      <c r="V59" s="981"/>
      <c r="W59" s="981"/>
      <c r="X59" s="981"/>
      <c r="Y59" s="1251"/>
      <c r="Z59" s="1322"/>
      <c r="AA59" s="981"/>
      <c r="AB59" s="981"/>
      <c r="AC59" s="1251"/>
      <c r="AD59" s="981"/>
      <c r="AE59" s="981"/>
      <c r="AF59" s="981"/>
      <c r="AG59" s="1251"/>
      <c r="AH59" s="981"/>
      <c r="AI59" s="981"/>
      <c r="AJ59" s="981"/>
      <c r="AK59" s="1251"/>
      <c r="AL59" s="981"/>
      <c r="AM59" s="981"/>
      <c r="AN59" s="981"/>
      <c r="AO59" s="1251"/>
      <c r="AP59" s="1235"/>
      <c r="AQ59" s="1235"/>
      <c r="AR59" s="1235"/>
      <c r="AS59" s="1235"/>
      <c r="AT59" s="1235"/>
      <c r="AU59" s="1235"/>
      <c r="AV59" s="1235"/>
      <c r="AW59" s="1235"/>
      <c r="AX59" s="1251"/>
      <c r="AY59" s="1251"/>
      <c r="AZ59" s="1251"/>
      <c r="BA59" s="1026"/>
      <c r="BB59" s="981"/>
      <c r="BC59" s="1251"/>
      <c r="BD59" s="1251"/>
      <c r="BE59" s="1251"/>
      <c r="BF59" s="1251"/>
      <c r="BG59" s="1251"/>
      <c r="BH59" s="1251"/>
      <c r="BI59" s="1251"/>
      <c r="BJ59" s="1251"/>
      <c r="BK59" s="1251"/>
      <c r="BL59" s="1235"/>
      <c r="BM59" s="1235"/>
      <c r="BN59" s="1025"/>
      <c r="BO59" s="1025"/>
      <c r="BP59" s="1025"/>
      <c r="BQ59" s="1251"/>
      <c r="BS59" s="1181"/>
      <c r="BV59" s="1181"/>
    </row>
    <row r="60" spans="1:74" ht="12.75" customHeight="1" x14ac:dyDescent="0.2">
      <c r="A60" s="1235"/>
      <c r="B60" s="1246" t="s">
        <v>77</v>
      </c>
      <c r="C60" s="2010">
        <v>1.407794692759029</v>
      </c>
      <c r="D60" s="981"/>
      <c r="E60" s="945"/>
      <c r="F60" s="945" t="e">
        <v>#DIV/0!</v>
      </c>
      <c r="G60" s="945" t="e">
        <v>#DIV/0!</v>
      </c>
      <c r="H60" s="945" t="e">
        <v>#DIV/0!</v>
      </c>
      <c r="I60" s="945">
        <v>0.27459030298917653</v>
      </c>
      <c r="J60" s="981">
        <v>0.32373339602680146</v>
      </c>
      <c r="K60" s="981">
        <v>0.34111492816989381</v>
      </c>
      <c r="L60" s="981">
        <v>0.29137832154463772</v>
      </c>
      <c r="M60" s="981">
        <v>0.26051235606158624</v>
      </c>
      <c r="N60" s="981">
        <v>0.3015810635146165</v>
      </c>
      <c r="O60" s="981">
        <v>0.34365160788198251</v>
      </c>
      <c r="P60" s="981">
        <v>0.31406264816512314</v>
      </c>
      <c r="Q60" s="981">
        <v>0.31929163060946963</v>
      </c>
      <c r="R60" s="981">
        <v>0.31784107946026985</v>
      </c>
      <c r="S60" s="981">
        <v>0.39835491900862224</v>
      </c>
      <c r="T60" s="981">
        <v>0.45582271740466146</v>
      </c>
      <c r="U60" s="981">
        <v>0.38398778034423664</v>
      </c>
      <c r="V60" s="981">
        <v>0.32892654315240666</v>
      </c>
      <c r="W60" s="981">
        <v>0.27796639182904909</v>
      </c>
      <c r="X60" s="981">
        <v>0.29628078405092978</v>
      </c>
      <c r="Y60" s="981">
        <v>0.32134794788805177</v>
      </c>
      <c r="Z60" s="981">
        <v>0.21590498125130861</v>
      </c>
      <c r="AA60" s="981">
        <v>0.25269794260842254</v>
      </c>
      <c r="AB60" s="981">
        <v>0.21564160971905846</v>
      </c>
      <c r="AC60" s="981">
        <v>0.20723582133143492</v>
      </c>
      <c r="AD60" s="981">
        <v>0.18037522007042253</v>
      </c>
      <c r="AE60" s="981">
        <v>0.18236417440487471</v>
      </c>
      <c r="AF60" s="981">
        <v>0.27443364242573925</v>
      </c>
      <c r="AG60" s="981">
        <v>0.26133836083631667</v>
      </c>
      <c r="AH60" s="981">
        <v>0.27384979087106748</v>
      </c>
      <c r="AI60" s="981">
        <v>0.26397077300755806</v>
      </c>
      <c r="AJ60" s="981">
        <v>0.28613782450545616</v>
      </c>
      <c r="AK60" s="981">
        <v>0.3055617767823815</v>
      </c>
      <c r="AL60" s="981">
        <v>0.30438867266138775</v>
      </c>
      <c r="AM60" s="981">
        <v>0.52001073601336034</v>
      </c>
      <c r="AN60" s="981">
        <v>0.28095064318949003</v>
      </c>
      <c r="AO60" s="981">
        <v>0.24116294747031269</v>
      </c>
      <c r="AP60" s="1057">
        <v>0.27273561867689994</v>
      </c>
      <c r="AQ60" s="1057">
        <v>0.26800000000000002</v>
      </c>
      <c r="AR60" s="1057">
        <v>0.26400000000000001</v>
      </c>
      <c r="AS60" s="1057">
        <v>0.20299999999999996</v>
      </c>
      <c r="AT60" s="1057">
        <v>0.19</v>
      </c>
      <c r="AU60" s="1057">
        <v>0.22199999999999998</v>
      </c>
      <c r="AV60" s="1057">
        <v>0.24399999999999999</v>
      </c>
      <c r="AW60" s="1057">
        <v>0.255</v>
      </c>
      <c r="AX60" s="1251"/>
      <c r="AY60" s="981">
        <v>0.30196473458524326</v>
      </c>
      <c r="AZ60" s="981">
        <v>0.3187914376211714</v>
      </c>
      <c r="BA60" s="2010">
        <v>-1.6826703035928148</v>
      </c>
      <c r="BB60" s="981"/>
      <c r="BC60" s="1251"/>
      <c r="BD60" s="981">
        <v>0.30196473458524326</v>
      </c>
      <c r="BE60" s="981">
        <v>0.3187914376211714</v>
      </c>
      <c r="BF60" s="981">
        <v>0.38429588251193803</v>
      </c>
      <c r="BG60" s="981">
        <v>0.30580243823960529</v>
      </c>
      <c r="BH60" s="981">
        <v>0.22168758122055363</v>
      </c>
      <c r="BI60" s="981">
        <v>0.21533668885084253</v>
      </c>
      <c r="BJ60" s="981">
        <f>+(BJ56-BJ20-BJ21)/BJ16</f>
        <v>0.28056734706970476</v>
      </c>
      <c r="BK60" s="981">
        <f>(BK22+BK23+BK24+BK25+BK26+BK27+BK28)/BK55</f>
        <v>0.3191426451149092</v>
      </c>
      <c r="BL60" s="1057">
        <v>0.24833920048810446</v>
      </c>
      <c r="BM60" s="1057">
        <v>0.22599999999999998</v>
      </c>
      <c r="BN60" s="1352">
        <v>0.20299999999999996</v>
      </c>
      <c r="BO60" s="1352">
        <v>0.18</v>
      </c>
      <c r="BP60" s="1352">
        <v>0.14600000000000002</v>
      </c>
      <c r="BQ60" s="1251"/>
      <c r="BS60" s="1181"/>
      <c r="BV60" s="1181"/>
    </row>
    <row r="61" spans="1:74" ht="12.75" customHeight="1" x14ac:dyDescent="0.2">
      <c r="A61" s="1235"/>
      <c r="B61" s="1246" t="s">
        <v>78</v>
      </c>
      <c r="C61" s="2010">
        <v>1.0896056550254607</v>
      </c>
      <c r="D61" s="981"/>
      <c r="E61" s="945"/>
      <c r="F61" s="945" t="e">
        <v>#DIV/0!</v>
      </c>
      <c r="G61" s="945" t="e">
        <v>#DIV/0!</v>
      </c>
      <c r="H61" s="945" t="e">
        <v>#DIV/0!</v>
      </c>
      <c r="I61" s="945">
        <v>0.87724357886879512</v>
      </c>
      <c r="J61" s="981">
        <v>0.90827161945064849</v>
      </c>
      <c r="K61" s="981">
        <v>0.91286695815115548</v>
      </c>
      <c r="L61" s="981">
        <v>0.86736761613458235</v>
      </c>
      <c r="M61" s="981">
        <v>0.86634752231854051</v>
      </c>
      <c r="N61" s="981">
        <v>0.90135735663109529</v>
      </c>
      <c r="O61" s="981">
        <v>0.92896310185021402</v>
      </c>
      <c r="P61" s="981">
        <v>0.901855422448399</v>
      </c>
      <c r="Q61" s="981">
        <v>0.93803313141303002</v>
      </c>
      <c r="R61" s="981">
        <v>0.96579835082458776</v>
      </c>
      <c r="S61" s="981">
        <v>1.0090551607200837</v>
      </c>
      <c r="T61" s="981">
        <v>1.0804489411379183</v>
      </c>
      <c r="U61" s="981">
        <v>1.01207063557112</v>
      </c>
      <c r="V61" s="981">
        <v>0.97548335040188683</v>
      </c>
      <c r="W61" s="981">
        <v>0.88841973124875184</v>
      </c>
      <c r="X61" s="981">
        <v>0.94410007259730833</v>
      </c>
      <c r="Y61" s="981">
        <v>0.93972856093779744</v>
      </c>
      <c r="Z61" s="981">
        <v>0.79469707063593276</v>
      </c>
      <c r="AA61" s="981">
        <v>0.83561059881986044</v>
      </c>
      <c r="AB61" s="981">
        <v>0.78729013751792798</v>
      </c>
      <c r="AC61" s="981">
        <v>0.7943522625632039</v>
      </c>
      <c r="AD61" s="981">
        <v>0.74548855633802813</v>
      </c>
      <c r="AE61" s="981">
        <v>0.75820347235382435</v>
      </c>
      <c r="AF61" s="981">
        <v>0.86667864119086646</v>
      </c>
      <c r="AG61" s="981">
        <v>0.83674031393649251</v>
      </c>
      <c r="AH61" s="981">
        <v>0.8517003091471177</v>
      </c>
      <c r="AI61" s="981">
        <v>0.81276941217404752</v>
      </c>
      <c r="AJ61" s="981">
        <v>0.8772983207932632</v>
      </c>
      <c r="AK61" s="981">
        <v>0.87515242005723526</v>
      </c>
      <c r="AL61" s="981">
        <v>0.77753321701784994</v>
      </c>
      <c r="AM61" s="981">
        <v>1.0345043540498629</v>
      </c>
      <c r="AN61" s="981">
        <v>0.81906304169327615</v>
      </c>
      <c r="AO61" s="981">
        <v>0.77235406979759047</v>
      </c>
      <c r="AP61" s="1057">
        <v>0.8024346804252428</v>
      </c>
      <c r="AQ61" s="1057">
        <v>0.78700000000000003</v>
      </c>
      <c r="AR61" s="1057">
        <v>0.76700000000000002</v>
      </c>
      <c r="AS61" s="1057">
        <v>0.751</v>
      </c>
      <c r="AT61" s="1057">
        <v>0.72899999999999998</v>
      </c>
      <c r="AU61" s="1057">
        <v>0.72899999999999998</v>
      </c>
      <c r="AV61" s="1057">
        <v>0.74299999999999999</v>
      </c>
      <c r="AW61" s="1057">
        <v>0.76400000000000001</v>
      </c>
      <c r="AX61" s="1251"/>
      <c r="AY61" s="981">
        <v>0.88749445512346592</v>
      </c>
      <c r="AZ61" s="981">
        <v>0.91717661701465625</v>
      </c>
      <c r="BA61" s="2010">
        <v>-2.9682161891190328</v>
      </c>
      <c r="BB61" s="981"/>
      <c r="BC61" s="1251"/>
      <c r="BD61" s="981">
        <v>0.88749445512346592</v>
      </c>
      <c r="BE61" s="981">
        <v>0.91717661701465625</v>
      </c>
      <c r="BF61" s="981">
        <v>1.0130101810973962</v>
      </c>
      <c r="BG61" s="981">
        <v>0.93622680633513278</v>
      </c>
      <c r="BH61" s="981">
        <v>0.80198993492320736</v>
      </c>
      <c r="BI61" s="981">
        <v>0.79087659676720345</v>
      </c>
      <c r="BJ61" s="981">
        <f t="shared" ref="BJ61:BK61" si="2">BJ56/BJ55</f>
        <v>0.85146434566897977</v>
      </c>
      <c r="BK61" s="981">
        <f t="shared" si="2"/>
        <v>0.83630945479000951</v>
      </c>
      <c r="BL61" s="1057">
        <v>0.77479357917849134</v>
      </c>
      <c r="BM61" s="1057">
        <v>0.74099999999999999</v>
      </c>
      <c r="BN61" s="1352">
        <v>0.72799999999999998</v>
      </c>
      <c r="BO61" s="1352">
        <v>0.71599999999999997</v>
      </c>
      <c r="BP61" s="1352">
        <v>0.67400000000000004</v>
      </c>
      <c r="BQ61" s="1251"/>
      <c r="BS61" s="1181"/>
      <c r="BV61" s="1181"/>
    </row>
    <row r="62" spans="1:74" ht="12.75" customHeight="1" x14ac:dyDescent="0.2">
      <c r="A62" s="1235"/>
      <c r="B62" s="1246" t="s">
        <v>178</v>
      </c>
      <c r="C62" s="2010">
        <v>-1.0896056550254607</v>
      </c>
      <c r="D62" s="981"/>
      <c r="E62" s="945"/>
      <c r="F62" s="945" t="e">
        <v>#DIV/0!</v>
      </c>
      <c r="G62" s="945" t="e">
        <v>#DIV/0!</v>
      </c>
      <c r="H62" s="945" t="e">
        <v>#DIV/0!</v>
      </c>
      <c r="I62" s="945">
        <v>0.12275642113120483</v>
      </c>
      <c r="J62" s="981">
        <v>9.1728380549351521E-2</v>
      </c>
      <c r="K62" s="981">
        <v>8.7133041848844475E-2</v>
      </c>
      <c r="L62" s="981">
        <v>0.1326323838654177</v>
      </c>
      <c r="M62" s="981">
        <v>0.13365247768145944</v>
      </c>
      <c r="N62" s="981">
        <v>9.8642643368904742E-2</v>
      </c>
      <c r="O62" s="981">
        <v>7.1036898149785976E-2</v>
      </c>
      <c r="P62" s="981">
        <v>9.814457755160097E-2</v>
      </c>
      <c r="Q62" s="981">
        <v>6.196686858696996E-2</v>
      </c>
      <c r="R62" s="981">
        <v>3.4201649175412296E-2</v>
      </c>
      <c r="S62" s="981">
        <v>-9.0551607200836971E-3</v>
      </c>
      <c r="T62" s="981">
        <v>-8.0448941137918326E-2</v>
      </c>
      <c r="U62" s="981">
        <v>-1.2070635571119887E-2</v>
      </c>
      <c r="V62" s="981">
        <v>2.4516649598113147E-2</v>
      </c>
      <c r="W62" s="981">
        <v>0.11158026875124818</v>
      </c>
      <c r="X62" s="981">
        <v>5.5899927402691688E-2</v>
      </c>
      <c r="Y62" s="981">
        <v>6.0271439062202517E-2</v>
      </c>
      <c r="Z62" s="981">
        <v>0.20530292936406722</v>
      </c>
      <c r="AA62" s="981">
        <v>0.16438940118013956</v>
      </c>
      <c r="AB62" s="981">
        <v>0.21270986248207205</v>
      </c>
      <c r="AC62" s="981">
        <v>0.2056477374367961</v>
      </c>
      <c r="AD62" s="981">
        <v>0.25451144366197181</v>
      </c>
      <c r="AE62" s="981">
        <v>0.2417965276461756</v>
      </c>
      <c r="AF62" s="981">
        <v>0.13332135880913357</v>
      </c>
      <c r="AG62" s="981">
        <v>0.16325968606350752</v>
      </c>
      <c r="AH62" s="981">
        <v>0.14829969085288233</v>
      </c>
      <c r="AI62" s="981">
        <v>0.18723058782595248</v>
      </c>
      <c r="AJ62" s="981">
        <v>0.12270167920673676</v>
      </c>
      <c r="AK62" s="981">
        <v>0.12484757994276471</v>
      </c>
      <c r="AL62" s="981">
        <v>0.22246678298215006</v>
      </c>
      <c r="AM62" s="981">
        <v>-3.4504354049862816E-2</v>
      </c>
      <c r="AN62" s="981">
        <v>0.18093695830672385</v>
      </c>
      <c r="AO62" s="981">
        <v>0.22764593020240956</v>
      </c>
      <c r="AP62" s="1057">
        <v>0.19756531957475718</v>
      </c>
      <c r="AQ62" s="1057">
        <v>0.21299999999999997</v>
      </c>
      <c r="AR62" s="1057">
        <v>0.23299999999999998</v>
      </c>
      <c r="AS62" s="1057">
        <v>0.249</v>
      </c>
      <c r="AT62" s="1057">
        <v>0.27100000000000002</v>
      </c>
      <c r="AU62" s="1057">
        <v>0.27100000000000002</v>
      </c>
      <c r="AV62" s="1057">
        <v>0.25700000000000001</v>
      </c>
      <c r="AW62" s="1057">
        <v>0.23599999999999999</v>
      </c>
      <c r="AX62" s="1251"/>
      <c r="AY62" s="981">
        <v>0.11250554487653408</v>
      </c>
      <c r="AZ62" s="981">
        <v>8.2823382985343752E-2</v>
      </c>
      <c r="BA62" s="2010">
        <v>2.9682161891190328</v>
      </c>
      <c r="BB62" s="981"/>
      <c r="BC62" s="1251"/>
      <c r="BD62" s="981">
        <v>0.11250554487653408</v>
      </c>
      <c r="BE62" s="981">
        <v>8.2823382985343752E-2</v>
      </c>
      <c r="BF62" s="981">
        <v>-1.3010181097396161E-2</v>
      </c>
      <c r="BG62" s="981">
        <v>6.3773193664867181E-2</v>
      </c>
      <c r="BH62" s="981">
        <v>0.19801006507679261</v>
      </c>
      <c r="BI62" s="981">
        <v>0.20912340323279655</v>
      </c>
      <c r="BJ62" s="981">
        <f t="shared" ref="BJ62:BK62" si="3">BJ57/BJ55</f>
        <v>0.14853565433102017</v>
      </c>
      <c r="BK62" s="981">
        <f t="shared" si="3"/>
        <v>0.16369054520999049</v>
      </c>
      <c r="BL62" s="1057">
        <v>0.22520642082150871</v>
      </c>
      <c r="BM62" s="1057">
        <v>0.25900000000000001</v>
      </c>
      <c r="BN62" s="1352">
        <v>0.27200000000000002</v>
      </c>
      <c r="BO62" s="1352">
        <v>0.28400000000000003</v>
      </c>
      <c r="BP62" s="1352">
        <v>0.32599999999999996</v>
      </c>
      <c r="BQ62" s="1251"/>
      <c r="BS62" s="1181"/>
    </row>
    <row r="63" spans="1:74" ht="12.75" customHeight="1" x14ac:dyDescent="0.2">
      <c r="A63" s="1235"/>
      <c r="B63" s="1246"/>
      <c r="C63" s="2010"/>
      <c r="D63" s="981"/>
      <c r="E63" s="945"/>
      <c r="F63" s="945"/>
      <c r="G63" s="945"/>
      <c r="H63" s="945"/>
      <c r="I63" s="945"/>
      <c r="J63" s="981"/>
      <c r="K63" s="981"/>
      <c r="L63" s="981"/>
      <c r="M63" s="981"/>
      <c r="N63" s="981"/>
      <c r="O63" s="981"/>
      <c r="P63" s="981"/>
      <c r="Q63" s="981"/>
      <c r="R63" s="981"/>
      <c r="S63" s="981"/>
      <c r="T63" s="981"/>
      <c r="U63" s="981"/>
      <c r="V63" s="981"/>
      <c r="W63" s="981"/>
      <c r="X63" s="981"/>
      <c r="Y63" s="981"/>
      <c r="AB63" s="981"/>
      <c r="AC63" s="981"/>
      <c r="AD63" s="981"/>
      <c r="AE63" s="981"/>
      <c r="AF63" s="981"/>
      <c r="AG63" s="981"/>
      <c r="AH63" s="981"/>
      <c r="AI63" s="981"/>
      <c r="AJ63" s="981"/>
      <c r="AK63" s="981"/>
      <c r="AL63" s="981"/>
      <c r="AM63" s="981"/>
      <c r="AN63" s="981"/>
      <c r="AO63" s="981"/>
      <c r="AP63" s="1057"/>
      <c r="AQ63" s="1057"/>
      <c r="AR63" s="1057"/>
      <c r="AS63" s="1057"/>
      <c r="AT63" s="1057"/>
      <c r="AU63" s="1057"/>
      <c r="AV63" s="1057"/>
      <c r="AW63" s="1057"/>
      <c r="AX63" s="1251"/>
      <c r="AY63" s="1251"/>
      <c r="AZ63" s="1251"/>
      <c r="BA63" s="2010"/>
      <c r="BB63" s="981"/>
      <c r="BC63" s="1251"/>
      <c r="BD63" s="1057"/>
      <c r="BE63" s="1057"/>
      <c r="BF63" s="1057"/>
      <c r="BG63" s="1057"/>
      <c r="BH63" s="1057"/>
      <c r="BI63" s="1057"/>
      <c r="BJ63" s="1057"/>
      <c r="BK63" s="1057"/>
      <c r="BL63" s="1057"/>
      <c r="BM63" s="1057"/>
      <c r="BN63" s="1352"/>
      <c r="BO63" s="1352"/>
      <c r="BP63" s="1352"/>
      <c r="BQ63" s="1251"/>
      <c r="BS63" s="1181"/>
    </row>
    <row r="64" spans="1:74" ht="12.75" customHeight="1" x14ac:dyDescent="0.2">
      <c r="A64" s="1428" t="s">
        <v>190</v>
      </c>
      <c r="B64" s="1246"/>
      <c r="C64" s="1251"/>
      <c r="D64" s="1251"/>
      <c r="E64" s="1188"/>
      <c r="F64" s="1188"/>
      <c r="G64" s="1188"/>
      <c r="H64" s="1188"/>
      <c r="I64" s="1188"/>
      <c r="J64" s="1251"/>
      <c r="K64" s="1251"/>
      <c r="L64" s="1251"/>
      <c r="M64" s="1251"/>
      <c r="N64" s="1251"/>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969"/>
      <c r="AT64" s="1251"/>
      <c r="AU64" s="969"/>
      <c r="AV64" s="969"/>
      <c r="AW64" s="1251"/>
      <c r="AX64" s="1251"/>
      <c r="AY64" s="1251"/>
      <c r="AZ64" s="1251"/>
      <c r="BA64" s="1251"/>
      <c r="BB64" s="1251"/>
      <c r="BC64" s="1251"/>
      <c r="BD64" s="1251"/>
      <c r="BE64" s="1251"/>
      <c r="BF64" s="1251"/>
      <c r="BG64" s="1251"/>
      <c r="BH64" s="1251"/>
      <c r="BI64" s="1251"/>
      <c r="BJ64" s="1251"/>
      <c r="BK64" s="1251"/>
      <c r="BL64" s="1251"/>
      <c r="BM64" s="1251"/>
      <c r="BN64" s="1025"/>
      <c r="BO64" s="1352"/>
      <c r="BP64" s="1352"/>
      <c r="BQ64" s="1251"/>
      <c r="BS64" s="1181"/>
    </row>
    <row r="65" spans="1:71" ht="12.75" customHeight="1" x14ac:dyDescent="0.2">
      <c r="C65" s="2455" t="s">
        <v>456</v>
      </c>
      <c r="D65" s="2456"/>
      <c r="E65" s="919"/>
      <c r="F65" s="921"/>
      <c r="G65" s="921"/>
      <c r="H65" s="921"/>
      <c r="I65" s="2280"/>
      <c r="J65" s="1000"/>
      <c r="K65" s="1000"/>
      <c r="L65" s="1000"/>
      <c r="M65" s="1261"/>
      <c r="N65" s="1000"/>
      <c r="O65" s="1000"/>
      <c r="P65" s="1000"/>
      <c r="Q65" s="1261"/>
      <c r="R65" s="1000"/>
      <c r="S65" s="1000"/>
      <c r="T65" s="1000"/>
      <c r="U65" s="1261"/>
      <c r="V65" s="1000"/>
      <c r="W65" s="1000"/>
      <c r="X65" s="1000"/>
      <c r="Y65" s="1261"/>
      <c r="Z65" s="1262"/>
      <c r="AA65" s="1263"/>
      <c r="AB65" s="1000"/>
      <c r="AC65" s="1261"/>
      <c r="AD65" s="1262"/>
      <c r="AE65" s="1263"/>
      <c r="AF65" s="1000"/>
      <c r="AG65" s="1261"/>
      <c r="AI65" s="1263"/>
      <c r="AJ65" s="964"/>
      <c r="AK65" s="1261"/>
      <c r="AL65" s="1263"/>
      <c r="AN65" s="1000"/>
      <c r="AO65" s="1261"/>
      <c r="AP65" s="1263"/>
      <c r="AQ65" s="1263"/>
      <c r="AR65" s="1263"/>
      <c r="AS65" s="1263"/>
      <c r="AT65" s="1264"/>
      <c r="AU65" s="1261"/>
      <c r="AV65" s="1261"/>
      <c r="AW65" s="1261"/>
      <c r="AX65" s="1265"/>
      <c r="AY65" s="1005" t="s">
        <v>448</v>
      </c>
      <c r="AZ65" s="1006"/>
      <c r="BA65" s="1006" t="s">
        <v>441</v>
      </c>
      <c r="BB65" s="1007"/>
      <c r="BC65" s="1251"/>
      <c r="BD65" s="1009"/>
      <c r="BE65" s="1009"/>
      <c r="BF65" s="1009"/>
      <c r="BG65" s="1009"/>
      <c r="BH65" s="1009"/>
      <c r="BI65" s="1009"/>
      <c r="BJ65" s="1009"/>
      <c r="BK65" s="1009"/>
      <c r="BL65" s="1526"/>
      <c r="BM65" s="1527"/>
      <c r="BN65" s="1009"/>
      <c r="BO65" s="1352"/>
      <c r="BP65" s="1352"/>
      <c r="BQ65" s="1230"/>
      <c r="BS65" s="1181"/>
    </row>
    <row r="66" spans="1:71" ht="12.75" customHeight="1" x14ac:dyDescent="0.2">
      <c r="C66" s="2457" t="s">
        <v>39</v>
      </c>
      <c r="D66" s="2490"/>
      <c r="E66" s="2000"/>
      <c r="F66" s="925" t="s">
        <v>452</v>
      </c>
      <c r="G66" s="925" t="s">
        <v>453</v>
      </c>
      <c r="H66" s="925" t="s">
        <v>454</v>
      </c>
      <c r="I66" s="2281" t="s">
        <v>455</v>
      </c>
      <c r="J66" s="1010" t="s">
        <v>399</v>
      </c>
      <c r="K66" s="1010" t="s">
        <v>398</v>
      </c>
      <c r="L66" s="1010" t="s">
        <v>397</v>
      </c>
      <c r="M66" s="1011" t="s">
        <v>395</v>
      </c>
      <c r="N66" s="1010" t="s">
        <v>373</v>
      </c>
      <c r="O66" s="1010" t="s">
        <v>374</v>
      </c>
      <c r="P66" s="1010" t="s">
        <v>375</v>
      </c>
      <c r="Q66" s="1011" t="s">
        <v>376</v>
      </c>
      <c r="R66" s="1010" t="s">
        <v>330</v>
      </c>
      <c r="S66" s="1010" t="s">
        <v>329</v>
      </c>
      <c r="T66" s="1010" t="s">
        <v>328</v>
      </c>
      <c r="U66" s="1011" t="s">
        <v>326</v>
      </c>
      <c r="V66" s="1010" t="s">
        <v>282</v>
      </c>
      <c r="W66" s="1010" t="s">
        <v>283</v>
      </c>
      <c r="X66" s="1010" t="s">
        <v>284</v>
      </c>
      <c r="Y66" s="1011" t="s">
        <v>285</v>
      </c>
      <c r="Z66" s="1012" t="s">
        <v>220</v>
      </c>
      <c r="AA66" s="1010" t="s">
        <v>221</v>
      </c>
      <c r="AB66" s="1010" t="s">
        <v>222</v>
      </c>
      <c r="AC66" s="1011" t="s">
        <v>219</v>
      </c>
      <c r="AD66" s="1012" t="s">
        <v>185</v>
      </c>
      <c r="AE66" s="1010" t="s">
        <v>186</v>
      </c>
      <c r="AF66" s="1010" t="s">
        <v>187</v>
      </c>
      <c r="AG66" s="1011" t="s">
        <v>188</v>
      </c>
      <c r="AH66" s="1010" t="s">
        <v>118</v>
      </c>
      <c r="AI66" s="1010" t="s">
        <v>117</v>
      </c>
      <c r="AJ66" s="1010" t="s">
        <v>116</v>
      </c>
      <c r="AK66" s="1011" t="s">
        <v>115</v>
      </c>
      <c r="AL66" s="1010" t="s">
        <v>83</v>
      </c>
      <c r="AM66" s="1010" t="s">
        <v>84</v>
      </c>
      <c r="AN66" s="1010" t="s">
        <v>85</v>
      </c>
      <c r="AO66" s="1011" t="s">
        <v>30</v>
      </c>
      <c r="AP66" s="1010" t="s">
        <v>31</v>
      </c>
      <c r="AQ66" s="1010" t="s">
        <v>32</v>
      </c>
      <c r="AR66" s="1010" t="s">
        <v>33</v>
      </c>
      <c r="AS66" s="1010" t="s">
        <v>34</v>
      </c>
      <c r="AT66" s="1013" t="s">
        <v>35</v>
      </c>
      <c r="AU66" s="1011" t="s">
        <v>36</v>
      </c>
      <c r="AV66" s="1011" t="s">
        <v>37</v>
      </c>
      <c r="AW66" s="1011" t="s">
        <v>38</v>
      </c>
      <c r="AX66" s="1014"/>
      <c r="AY66" s="1010" t="s">
        <v>399</v>
      </c>
      <c r="AZ66" s="1010" t="s">
        <v>373</v>
      </c>
      <c r="BA66" s="2485" t="s">
        <v>39</v>
      </c>
      <c r="BB66" s="2458"/>
      <c r="BC66" s="1251"/>
      <c r="BD66" s="1012" t="s">
        <v>438</v>
      </c>
      <c r="BE66" s="1012" t="s">
        <v>385</v>
      </c>
      <c r="BF66" s="1012" t="s">
        <v>332</v>
      </c>
      <c r="BG66" s="1012" t="s">
        <v>287</v>
      </c>
      <c r="BH66" s="1012" t="s">
        <v>224</v>
      </c>
      <c r="BI66" s="1012" t="s">
        <v>120</v>
      </c>
      <c r="BJ66" s="1012" t="s">
        <v>119</v>
      </c>
      <c r="BK66" s="1012" t="s">
        <v>43</v>
      </c>
      <c r="BL66" s="1012" t="s">
        <v>40</v>
      </c>
      <c r="BM66" s="1013" t="s">
        <v>41</v>
      </c>
      <c r="BN66" s="1013" t="s">
        <v>138</v>
      </c>
      <c r="BO66" s="1352"/>
      <c r="BP66" s="1352"/>
      <c r="BQ66" s="1230"/>
      <c r="BS66" s="1181"/>
    </row>
    <row r="67" spans="1:71" ht="12.75" customHeight="1" x14ac:dyDescent="0.2">
      <c r="A67" s="1235"/>
      <c r="B67" s="969" t="s">
        <v>312</v>
      </c>
      <c r="C67" s="1252">
        <v>-741</v>
      </c>
      <c r="D67" s="1371">
        <v>-3.1938278522477478E-2</v>
      </c>
      <c r="E67" s="1187"/>
      <c r="F67" s="1206"/>
      <c r="G67" s="1206"/>
      <c r="H67" s="1209"/>
      <c r="I67" s="2287">
        <v>22460</v>
      </c>
      <c r="J67" s="1310">
        <v>21157</v>
      </c>
      <c r="K67" s="1310">
        <v>21274</v>
      </c>
      <c r="L67" s="1322">
        <v>20633</v>
      </c>
      <c r="M67" s="1293">
        <v>23201</v>
      </c>
      <c r="N67" s="1310">
        <v>23865</v>
      </c>
      <c r="O67" s="1310">
        <v>22098</v>
      </c>
      <c r="P67" s="1322">
        <v>23441</v>
      </c>
      <c r="Q67" s="1293">
        <v>24224</v>
      </c>
      <c r="R67" s="1310">
        <v>23606</v>
      </c>
      <c r="S67" s="1310">
        <v>21276</v>
      </c>
      <c r="T67" s="1322">
        <v>19001</v>
      </c>
      <c r="U67" s="1293">
        <v>21312</v>
      </c>
      <c r="V67" s="1322">
        <v>22467</v>
      </c>
      <c r="W67" s="1322">
        <v>24460</v>
      </c>
      <c r="X67" s="1322">
        <v>26063</v>
      </c>
      <c r="Y67" s="1293">
        <v>27328</v>
      </c>
      <c r="Z67" s="1322">
        <v>36033</v>
      </c>
      <c r="AA67" s="1322">
        <v>31389</v>
      </c>
      <c r="AB67" s="1322">
        <v>34266</v>
      </c>
      <c r="AC67" s="1326">
        <v>38087</v>
      </c>
      <c r="AD67" s="1310">
        <v>46851</v>
      </c>
      <c r="AE67" s="1310">
        <v>45775</v>
      </c>
      <c r="AF67" s="1310">
        <v>32880</v>
      </c>
      <c r="AG67" s="1326">
        <v>34953</v>
      </c>
      <c r="AH67" s="1310">
        <v>38197</v>
      </c>
      <c r="AI67" s="1310">
        <v>34040</v>
      </c>
      <c r="AJ67" s="1310">
        <v>30370</v>
      </c>
      <c r="AK67" s="1326">
        <v>29756</v>
      </c>
      <c r="AL67" s="1536">
        <v>24593</v>
      </c>
      <c r="AM67" s="1365">
        <v>27916</v>
      </c>
      <c r="AN67" s="1364">
        <v>32886</v>
      </c>
      <c r="AO67" s="1326">
        <v>42504</v>
      </c>
      <c r="AP67" s="1528">
        <v>29584</v>
      </c>
      <c r="AQ67" s="1251"/>
      <c r="AR67" s="1251"/>
      <c r="AS67" s="969"/>
      <c r="AT67" s="1251"/>
      <c r="AU67" s="969"/>
      <c r="AV67" s="969"/>
      <c r="AW67" s="1251"/>
      <c r="AX67" s="1274"/>
      <c r="AY67" s="1294">
        <v>86265</v>
      </c>
      <c r="AZ67" s="1294">
        <v>93628</v>
      </c>
      <c r="BA67" s="1322">
        <v>-7363</v>
      </c>
      <c r="BB67" s="1371">
        <v>-7.8641004827615671E-2</v>
      </c>
      <c r="BC67" s="1251"/>
      <c r="BD67" s="1935">
        <v>86265</v>
      </c>
      <c r="BE67" s="1935">
        <v>93628</v>
      </c>
      <c r="BF67" s="1935">
        <v>85195</v>
      </c>
      <c r="BG67" s="1327">
        <v>100318</v>
      </c>
      <c r="BH67" s="1327">
        <v>139775</v>
      </c>
      <c r="BI67" s="1327">
        <v>160459</v>
      </c>
      <c r="BJ67" s="1327">
        <v>132363</v>
      </c>
      <c r="BK67" s="1327">
        <v>127899</v>
      </c>
      <c r="BL67" s="1471">
        <v>170684</v>
      </c>
      <c r="BM67" s="1530">
        <v>177862</v>
      </c>
      <c r="BN67" s="1369">
        <v>150224</v>
      </c>
      <c r="BO67" s="1352"/>
      <c r="BP67" s="1352"/>
      <c r="BQ67" s="1230"/>
      <c r="BS67" s="1182"/>
    </row>
    <row r="68" spans="1:71" ht="12.75" customHeight="1" x14ac:dyDescent="0.2">
      <c r="A68" s="1235"/>
      <c r="B68" s="969" t="s">
        <v>62</v>
      </c>
      <c r="C68" s="1252">
        <v>-438</v>
      </c>
      <c r="D68" s="1371">
        <v>-8.7881219903691812E-2</v>
      </c>
      <c r="E68" s="1187"/>
      <c r="F68" s="1206"/>
      <c r="G68" s="1206"/>
      <c r="H68" s="1209"/>
      <c r="I68" s="2287">
        <v>4546</v>
      </c>
      <c r="J68" s="1310">
        <v>1846</v>
      </c>
      <c r="K68" s="1310">
        <v>2130</v>
      </c>
      <c r="L68" s="1322">
        <v>2673</v>
      </c>
      <c r="M68" s="1293">
        <v>4984</v>
      </c>
      <c r="N68" s="1310">
        <v>6020</v>
      </c>
      <c r="O68" s="1310">
        <v>3461</v>
      </c>
      <c r="P68" s="1322">
        <v>5562</v>
      </c>
      <c r="Q68" s="1293">
        <v>5812</v>
      </c>
      <c r="R68" s="1310">
        <v>5669</v>
      </c>
      <c r="S68" s="1310">
        <v>3868</v>
      </c>
      <c r="T68" s="1322">
        <v>3124</v>
      </c>
      <c r="U68" s="1293">
        <v>3031</v>
      </c>
      <c r="V68" s="1322">
        <v>5593</v>
      </c>
      <c r="W68" s="1322">
        <v>6233</v>
      </c>
      <c r="X68" s="1322">
        <v>6520</v>
      </c>
      <c r="Y68" s="1293">
        <v>5567</v>
      </c>
      <c r="Z68" s="1322">
        <v>10998</v>
      </c>
      <c r="AA68" s="1322">
        <v>8459</v>
      </c>
      <c r="AB68" s="1322">
        <v>8442</v>
      </c>
      <c r="AC68" s="1326">
        <v>11661</v>
      </c>
      <c r="AD68" s="1310">
        <v>19176</v>
      </c>
      <c r="AE68" s="1310">
        <v>18914</v>
      </c>
      <c r="AF68" s="1310">
        <v>8124</v>
      </c>
      <c r="AG68" s="1326">
        <v>9445</v>
      </c>
      <c r="AH68" s="1310">
        <v>10808</v>
      </c>
      <c r="AI68" s="1310">
        <v>10384</v>
      </c>
      <c r="AJ68" s="1310">
        <v>6254</v>
      </c>
      <c r="AK68" s="1326">
        <v>5954</v>
      </c>
      <c r="AL68" s="1536">
        <v>5426</v>
      </c>
      <c r="AM68" s="1310">
        <v>1798</v>
      </c>
      <c r="AN68" s="1326">
        <v>5110</v>
      </c>
      <c r="AO68" s="1326">
        <v>8533</v>
      </c>
      <c r="AP68" s="1528">
        <v>68274</v>
      </c>
      <c r="AQ68" s="1251"/>
      <c r="AR68" s="1251"/>
      <c r="AS68" s="969"/>
      <c r="AT68" s="1251"/>
      <c r="AU68" s="969"/>
      <c r="AV68" s="969"/>
      <c r="AW68" s="1251"/>
      <c r="AX68" s="1274"/>
      <c r="AY68" s="1294">
        <v>11633</v>
      </c>
      <c r="AZ68" s="1294">
        <v>20855</v>
      </c>
      <c r="BA68" s="1294">
        <v>-9222</v>
      </c>
      <c r="BB68" s="1371">
        <v>-0.44219611603931913</v>
      </c>
      <c r="BC68" s="1251"/>
      <c r="BD68" s="1935">
        <v>11633</v>
      </c>
      <c r="BE68" s="1935">
        <v>20855</v>
      </c>
      <c r="BF68" s="1935">
        <v>15692</v>
      </c>
      <c r="BG68" s="1327">
        <v>23913</v>
      </c>
      <c r="BH68" s="1327">
        <v>39560</v>
      </c>
      <c r="BI68" s="1327">
        <v>55659</v>
      </c>
      <c r="BJ68" s="1327">
        <v>33400</v>
      </c>
      <c r="BK68" s="1327">
        <v>20867</v>
      </c>
      <c r="BL68" s="1238">
        <v>49804</v>
      </c>
      <c r="BM68" s="1282">
        <v>62132</v>
      </c>
      <c r="BN68" s="1054">
        <v>49772</v>
      </c>
      <c r="BO68" s="1352"/>
      <c r="BP68" s="1352"/>
      <c r="BQ68" s="1230"/>
      <c r="BS68" s="1182"/>
    </row>
    <row r="69" spans="1:71" ht="12.75" customHeight="1" x14ac:dyDescent="0.2">
      <c r="A69" s="1235"/>
      <c r="B69" s="969" t="s">
        <v>203</v>
      </c>
      <c r="C69" s="1252">
        <v>235</v>
      </c>
      <c r="D69" s="1372" t="s">
        <v>42</v>
      </c>
      <c r="E69" s="1187"/>
      <c r="F69" s="2235"/>
      <c r="G69" s="1206"/>
      <c r="H69" s="1209"/>
      <c r="I69" s="2287">
        <v>235</v>
      </c>
      <c r="J69" s="1102">
        <v>0</v>
      </c>
      <c r="K69" s="1310">
        <v>8</v>
      </c>
      <c r="L69" s="1322">
        <v>0</v>
      </c>
      <c r="M69" s="1293">
        <v>0</v>
      </c>
      <c r="N69" s="1310">
        <v>3</v>
      </c>
      <c r="O69" s="1310">
        <v>30</v>
      </c>
      <c r="P69" s="1322">
        <v>54</v>
      </c>
      <c r="Q69" s="1293">
        <v>0</v>
      </c>
      <c r="R69" s="1310">
        <v>0</v>
      </c>
      <c r="S69" s="1310">
        <v>211</v>
      </c>
      <c r="T69" s="1322">
        <v>18</v>
      </c>
      <c r="U69" s="1293">
        <v>0</v>
      </c>
      <c r="V69" s="1322">
        <v>11</v>
      </c>
      <c r="W69" s="1322">
        <v>7</v>
      </c>
      <c r="X69" s="1322">
        <v>12</v>
      </c>
      <c r="Y69" s="1293">
        <v>438</v>
      </c>
      <c r="Z69" s="1294">
        <v>36</v>
      </c>
      <c r="AA69" s="1294">
        <v>0</v>
      </c>
      <c r="AB69" s="1322">
        <v>3</v>
      </c>
      <c r="AC69" s="1278">
        <v>0</v>
      </c>
      <c r="AD69" s="1281">
        <v>0</v>
      </c>
      <c r="AE69" s="1281">
        <v>50</v>
      </c>
      <c r="AF69" s="1310">
        <v>250</v>
      </c>
      <c r="AG69" s="1278">
        <v>70</v>
      </c>
      <c r="AH69" s="1281">
        <v>0</v>
      </c>
      <c r="AI69" s="1281">
        <v>0</v>
      </c>
      <c r="AJ69" s="1281">
        <v>0</v>
      </c>
      <c r="AK69" s="1278">
        <v>0</v>
      </c>
      <c r="AL69" s="1281">
        <v>0</v>
      </c>
      <c r="AM69" s="1281">
        <v>0</v>
      </c>
      <c r="AN69" s="1278">
        <v>0</v>
      </c>
      <c r="AO69" s="1278">
        <v>0</v>
      </c>
      <c r="AP69" s="1281">
        <v>0</v>
      </c>
      <c r="AQ69" s="1281"/>
      <c r="AR69" s="1281"/>
      <c r="AS69" s="1281"/>
      <c r="AT69" s="1281"/>
      <c r="AU69" s="1281"/>
      <c r="AV69" s="1281"/>
      <c r="AW69" s="1281"/>
      <c r="AX69" s="1279"/>
      <c r="AY69" s="1294">
        <v>8</v>
      </c>
      <c r="AZ69" s="1294">
        <v>87</v>
      </c>
      <c r="BA69" s="1294">
        <v>-79</v>
      </c>
      <c r="BB69" s="1372">
        <v>-0.90804597701149425</v>
      </c>
      <c r="BC69" s="1281"/>
      <c r="BD69" s="1935">
        <v>8</v>
      </c>
      <c r="BE69" s="1935">
        <v>87</v>
      </c>
      <c r="BF69" s="1935">
        <v>229</v>
      </c>
      <c r="BG69" s="1327">
        <v>468</v>
      </c>
      <c r="BH69" s="1279">
        <v>39</v>
      </c>
      <c r="BI69" s="1279">
        <v>370</v>
      </c>
      <c r="BJ69" s="1279">
        <v>0</v>
      </c>
      <c r="BK69" s="1281">
        <v>0</v>
      </c>
      <c r="BL69" s="1279">
        <v>0</v>
      </c>
      <c r="BM69" s="1279">
        <v>0</v>
      </c>
      <c r="BN69" s="1279">
        <v>0</v>
      </c>
      <c r="BO69" s="1352"/>
      <c r="BP69" s="1352"/>
      <c r="BQ69" s="1230"/>
      <c r="BS69" s="1182"/>
    </row>
    <row r="70" spans="1:71" ht="12.75" customHeight="1" x14ac:dyDescent="0.2">
      <c r="A70" s="1235"/>
      <c r="B70" s="969" t="s">
        <v>63</v>
      </c>
      <c r="C70" s="1252">
        <v>134</v>
      </c>
      <c r="D70" s="1372">
        <v>1.6341463414634145</v>
      </c>
      <c r="E70" s="1187"/>
      <c r="F70" s="1209"/>
      <c r="G70" s="1209"/>
      <c r="H70" s="1209"/>
      <c r="I70" s="2287">
        <v>216</v>
      </c>
      <c r="J70" s="1322">
        <v>147</v>
      </c>
      <c r="K70" s="1322">
        <v>-64</v>
      </c>
      <c r="L70" s="1322">
        <v>74</v>
      </c>
      <c r="M70" s="1293">
        <v>82</v>
      </c>
      <c r="N70" s="1322">
        <v>106</v>
      </c>
      <c r="O70" s="1310">
        <v>64</v>
      </c>
      <c r="P70" s="1322">
        <v>80</v>
      </c>
      <c r="Q70" s="1293">
        <v>11</v>
      </c>
      <c r="R70" s="1322">
        <v>-200</v>
      </c>
      <c r="S70" s="1310">
        <v>87</v>
      </c>
      <c r="T70" s="1322">
        <v>124</v>
      </c>
      <c r="U70" s="1293">
        <v>-345</v>
      </c>
      <c r="V70" s="1322">
        <v>-94</v>
      </c>
      <c r="W70" s="1322">
        <v>-61</v>
      </c>
      <c r="X70" s="1322">
        <v>81</v>
      </c>
      <c r="Y70" s="1293">
        <v>-199</v>
      </c>
      <c r="Z70" s="1322">
        <v>-17</v>
      </c>
      <c r="AA70" s="1322">
        <v>37</v>
      </c>
      <c r="AB70" s="1322">
        <v>47</v>
      </c>
      <c r="AC70" s="1326">
        <v>353</v>
      </c>
      <c r="AD70" s="1310">
        <v>714</v>
      </c>
      <c r="AE70" s="1310">
        <v>526</v>
      </c>
      <c r="AF70" s="1310">
        <v>321</v>
      </c>
      <c r="AG70" s="1326">
        <v>104</v>
      </c>
      <c r="AH70" s="1310">
        <v>408</v>
      </c>
      <c r="AI70" s="1310">
        <v>4280</v>
      </c>
      <c r="AJ70" s="1310">
        <v>850</v>
      </c>
      <c r="AK70" s="1326">
        <v>1696</v>
      </c>
      <c r="AL70" s="1536">
        <v>198</v>
      </c>
      <c r="AM70" s="1310">
        <v>-649</v>
      </c>
      <c r="AN70" s="1326">
        <v>-226</v>
      </c>
      <c r="AO70" s="1326">
        <v>548</v>
      </c>
      <c r="AP70" s="1528">
        <v>5363</v>
      </c>
      <c r="AQ70" s="1251"/>
      <c r="AR70" s="1251"/>
      <c r="AS70" s="969"/>
      <c r="AT70" s="1251"/>
      <c r="AU70" s="969"/>
      <c r="AV70" s="969"/>
      <c r="AW70" s="1251"/>
      <c r="AX70" s="1274"/>
      <c r="AY70" s="1294">
        <v>239</v>
      </c>
      <c r="AZ70" s="1294">
        <v>261</v>
      </c>
      <c r="BA70" s="1294">
        <v>-22</v>
      </c>
      <c r="BB70" s="1372">
        <v>-8.4291187739463605E-2</v>
      </c>
      <c r="BC70" s="1251"/>
      <c r="BD70" s="1935">
        <v>239</v>
      </c>
      <c r="BE70" s="1935">
        <v>261</v>
      </c>
      <c r="BF70" s="1935">
        <v>-334</v>
      </c>
      <c r="BG70" s="1297">
        <v>-273</v>
      </c>
      <c r="BH70" s="1327">
        <v>420</v>
      </c>
      <c r="BI70" s="1327">
        <v>1665</v>
      </c>
      <c r="BJ70" s="1327">
        <v>7234</v>
      </c>
      <c r="BK70" s="1297">
        <v>-129</v>
      </c>
      <c r="BL70" s="1238">
        <v>210</v>
      </c>
      <c r="BM70" s="1282">
        <v>4992</v>
      </c>
      <c r="BN70" s="1054">
        <v>5670</v>
      </c>
      <c r="BO70" s="1352"/>
      <c r="BP70" s="1352"/>
      <c r="BQ70" s="1230"/>
      <c r="BS70" s="1182"/>
    </row>
    <row r="71" spans="1:71" ht="12.75" customHeight="1" x14ac:dyDescent="0.2">
      <c r="A71" s="1235"/>
      <c r="B71" s="969" t="s">
        <v>64</v>
      </c>
      <c r="C71" s="1252">
        <v>-430</v>
      </c>
      <c r="D71" s="1371">
        <v>-0.19386834986474302</v>
      </c>
      <c r="E71" s="1187"/>
      <c r="F71" s="1206"/>
      <c r="G71" s="1206"/>
      <c r="H71" s="1209"/>
      <c r="I71" s="2287">
        <v>1788</v>
      </c>
      <c r="J71" s="1310">
        <v>1649</v>
      </c>
      <c r="K71" s="1310">
        <v>1839</v>
      </c>
      <c r="L71" s="1322">
        <v>2427</v>
      </c>
      <c r="M71" s="1293">
        <v>2218</v>
      </c>
      <c r="N71" s="1310">
        <v>2128</v>
      </c>
      <c r="O71" s="1310">
        <v>2296</v>
      </c>
      <c r="P71" s="1322">
        <v>2238</v>
      </c>
      <c r="Q71" s="1293">
        <v>2068</v>
      </c>
      <c r="R71" s="1310">
        <v>1890</v>
      </c>
      <c r="S71" s="1310">
        <v>1840</v>
      </c>
      <c r="T71" s="1322">
        <v>1802</v>
      </c>
      <c r="U71" s="1293">
        <v>1939</v>
      </c>
      <c r="V71" s="1322">
        <v>2260</v>
      </c>
      <c r="W71" s="1322">
        <v>2506</v>
      </c>
      <c r="X71" s="1322">
        <v>2765</v>
      </c>
      <c r="Y71" s="1293">
        <v>3176</v>
      </c>
      <c r="Z71" s="1322">
        <v>3237</v>
      </c>
      <c r="AA71" s="1322">
        <v>3426</v>
      </c>
      <c r="AB71" s="1322">
        <v>3371</v>
      </c>
      <c r="AC71" s="1326">
        <v>3392</v>
      </c>
      <c r="AD71" s="1310">
        <v>3221</v>
      </c>
      <c r="AE71" s="1310">
        <v>2965</v>
      </c>
      <c r="AF71" s="1310">
        <v>2556</v>
      </c>
      <c r="AG71" s="1326">
        <v>2302</v>
      </c>
      <c r="AH71" s="1310">
        <v>2191</v>
      </c>
      <c r="AI71" s="1310">
        <v>2171</v>
      </c>
      <c r="AJ71" s="1310">
        <v>2224</v>
      </c>
      <c r="AK71" s="1326">
        <v>2325</v>
      </c>
      <c r="AL71" s="1536">
        <v>6358</v>
      </c>
      <c r="AM71" s="1310">
        <v>4010</v>
      </c>
      <c r="AN71" s="1326">
        <v>5644</v>
      </c>
      <c r="AO71" s="1326">
        <v>5891</v>
      </c>
      <c r="AP71" s="1528">
        <v>1512</v>
      </c>
      <c r="AQ71" s="1251"/>
      <c r="AR71" s="1251"/>
      <c r="AS71" s="969"/>
      <c r="AT71" s="1251"/>
      <c r="AU71" s="969"/>
      <c r="AV71" s="969"/>
      <c r="AW71" s="1251"/>
      <c r="AX71" s="1274"/>
      <c r="AY71" s="1294">
        <v>8133</v>
      </c>
      <c r="AZ71" s="1294">
        <v>8730</v>
      </c>
      <c r="BA71" s="1294">
        <v>-597</v>
      </c>
      <c r="BB71" s="1371">
        <v>-6.8384879725085918E-2</v>
      </c>
      <c r="BC71" s="1251"/>
      <c r="BD71" s="1935">
        <v>8133</v>
      </c>
      <c r="BE71" s="1935">
        <v>8730</v>
      </c>
      <c r="BF71" s="1935">
        <v>7471</v>
      </c>
      <c r="BG71" s="1327">
        <v>10707</v>
      </c>
      <c r="BH71" s="1327">
        <v>13426</v>
      </c>
      <c r="BI71" s="1327">
        <v>11044</v>
      </c>
      <c r="BJ71" s="1327">
        <v>8911</v>
      </c>
      <c r="BK71" s="1327">
        <v>21903</v>
      </c>
      <c r="BL71" s="1238">
        <v>27650</v>
      </c>
      <c r="BM71" s="1282">
        <v>26877</v>
      </c>
      <c r="BN71" s="1054">
        <v>18354</v>
      </c>
      <c r="BO71" s="1352"/>
      <c r="BP71" s="1352"/>
      <c r="BQ71" s="1230"/>
      <c r="BS71" s="1182"/>
    </row>
    <row r="72" spans="1:71" ht="12.75" customHeight="1" x14ac:dyDescent="0.2">
      <c r="A72" s="1429"/>
      <c r="B72" s="969" t="s">
        <v>65</v>
      </c>
      <c r="C72" s="1252">
        <v>-203</v>
      </c>
      <c r="D72" s="1371">
        <v>-0.47099767981438517</v>
      </c>
      <c r="E72" s="1415"/>
      <c r="F72" s="1222"/>
      <c r="G72" s="1222"/>
      <c r="H72" s="1224"/>
      <c r="I72" s="2287">
        <v>228</v>
      </c>
      <c r="J72" s="1374">
        <v>722</v>
      </c>
      <c r="K72" s="1374">
        <v>429</v>
      </c>
      <c r="L72" s="1378">
        <v>348</v>
      </c>
      <c r="M72" s="1293">
        <v>431</v>
      </c>
      <c r="N72" s="1374">
        <v>957</v>
      </c>
      <c r="O72" s="1374">
        <v>318</v>
      </c>
      <c r="P72" s="1378">
        <v>262</v>
      </c>
      <c r="Q72" s="1293">
        <v>241</v>
      </c>
      <c r="R72" s="1374">
        <v>1051</v>
      </c>
      <c r="S72" s="1374">
        <v>437</v>
      </c>
      <c r="T72" s="1378">
        <v>344</v>
      </c>
      <c r="U72" s="1293">
        <v>905</v>
      </c>
      <c r="V72" s="1322">
        <v>1986</v>
      </c>
      <c r="W72" s="1322">
        <v>1906</v>
      </c>
      <c r="X72" s="1322">
        <v>373</v>
      </c>
      <c r="Y72" s="1293">
        <v>457</v>
      </c>
      <c r="Z72" s="1322">
        <v>2250</v>
      </c>
      <c r="AA72" s="1322">
        <v>1260</v>
      </c>
      <c r="AB72" s="1378">
        <v>1283</v>
      </c>
      <c r="AC72" s="1373">
        <v>1290</v>
      </c>
      <c r="AD72" s="1310">
        <v>2742</v>
      </c>
      <c r="AE72" s="1310">
        <v>369</v>
      </c>
      <c r="AF72" s="1374">
        <v>408</v>
      </c>
      <c r="AG72" s="1373">
        <v>333</v>
      </c>
      <c r="AH72" s="1310">
        <v>3386</v>
      </c>
      <c r="AI72" s="1310">
        <v>858</v>
      </c>
      <c r="AJ72" s="1374">
        <v>440</v>
      </c>
      <c r="AK72" s="1373">
        <v>454</v>
      </c>
      <c r="AL72" s="1536">
        <v>680</v>
      </c>
      <c r="AM72" s="1374">
        <v>457</v>
      </c>
      <c r="AN72" s="1373">
        <v>430</v>
      </c>
      <c r="AO72" s="1373">
        <v>377</v>
      </c>
      <c r="AP72" s="1531">
        <v>60</v>
      </c>
      <c r="AQ72" s="1008"/>
      <c r="AR72" s="1008"/>
      <c r="AS72" s="1008"/>
      <c r="AT72" s="1008"/>
      <c r="AU72" s="1008"/>
      <c r="AV72" s="1008"/>
      <c r="AW72" s="1008"/>
      <c r="AX72" s="1274"/>
      <c r="AY72" s="1294">
        <v>1930</v>
      </c>
      <c r="AZ72" s="1294">
        <v>1778</v>
      </c>
      <c r="BA72" s="1302">
        <v>152</v>
      </c>
      <c r="BB72" s="1433">
        <v>8.5489313835770533E-2</v>
      </c>
      <c r="BC72" s="1235"/>
      <c r="BD72" s="1935">
        <v>1930</v>
      </c>
      <c r="BE72" s="1935">
        <v>1778</v>
      </c>
      <c r="BF72" s="1935">
        <v>2737</v>
      </c>
      <c r="BG72" s="1327">
        <v>4722</v>
      </c>
      <c r="BH72" s="1535">
        <v>6083</v>
      </c>
      <c r="BI72" s="1535">
        <v>3852</v>
      </c>
      <c r="BJ72" s="1535">
        <v>5138</v>
      </c>
      <c r="BK72" s="1535">
        <v>1944</v>
      </c>
      <c r="BL72" s="1534">
        <v>779</v>
      </c>
      <c r="BM72" s="1305">
        <v>756</v>
      </c>
      <c r="BN72" s="1329">
        <v>1174</v>
      </c>
      <c r="BO72" s="1352"/>
      <c r="BP72" s="1352"/>
      <c r="BQ72" s="1230"/>
      <c r="BS72" s="1182"/>
    </row>
    <row r="73" spans="1:71" ht="12.75" customHeight="1" x14ac:dyDescent="0.2">
      <c r="A73" s="1429"/>
      <c r="B73" s="969"/>
      <c r="C73" s="1430">
        <v>-1443</v>
      </c>
      <c r="D73" s="1431">
        <v>-4.6674860913442875E-2</v>
      </c>
      <c r="E73" s="1185"/>
      <c r="F73" s="1214">
        <v>0</v>
      </c>
      <c r="G73" s="1214">
        <v>0</v>
      </c>
      <c r="H73" s="1214">
        <v>0</v>
      </c>
      <c r="I73" s="2318">
        <v>29473</v>
      </c>
      <c r="J73" s="1335">
        <v>25521</v>
      </c>
      <c r="K73" s="1335">
        <v>25616</v>
      </c>
      <c r="L73" s="1335">
        <v>26155</v>
      </c>
      <c r="M73" s="1540">
        <v>30916</v>
      </c>
      <c r="N73" s="1539">
        <v>33079</v>
      </c>
      <c r="O73" s="1539">
        <v>28267</v>
      </c>
      <c r="P73" s="1335">
        <v>31637</v>
      </c>
      <c r="Q73" s="1540">
        <v>32356</v>
      </c>
      <c r="R73" s="1539">
        <v>32016</v>
      </c>
      <c r="S73" s="1539">
        <v>27719</v>
      </c>
      <c r="T73" s="1335">
        <v>24413</v>
      </c>
      <c r="U73" s="1980">
        <v>26842</v>
      </c>
      <c r="V73" s="1335">
        <v>32223</v>
      </c>
      <c r="W73" s="1335">
        <v>35051</v>
      </c>
      <c r="X73" s="1335">
        <v>35814</v>
      </c>
      <c r="Y73" s="1980">
        <v>36767</v>
      </c>
      <c r="Z73" s="1335">
        <v>52537</v>
      </c>
      <c r="AA73" s="1335">
        <v>44571</v>
      </c>
      <c r="AB73" s="1335">
        <v>47412</v>
      </c>
      <c r="AC73" s="1540">
        <v>54783</v>
      </c>
      <c r="AD73" s="1539">
        <v>72704</v>
      </c>
      <c r="AE73" s="1539">
        <v>68599</v>
      </c>
      <c r="AF73" s="1539">
        <v>44539</v>
      </c>
      <c r="AG73" s="1540">
        <v>47207</v>
      </c>
      <c r="AH73" s="1539">
        <v>54990</v>
      </c>
      <c r="AI73" s="1539">
        <v>51733</v>
      </c>
      <c r="AJ73" s="1539">
        <v>40138</v>
      </c>
      <c r="AK73" s="1540">
        <v>40185</v>
      </c>
      <c r="AL73" s="1541">
        <v>37255</v>
      </c>
      <c r="AM73" s="1539">
        <v>33532</v>
      </c>
      <c r="AN73" s="1540">
        <v>43844</v>
      </c>
      <c r="AO73" s="1540">
        <v>57853</v>
      </c>
      <c r="AP73" s="1540">
        <v>104793</v>
      </c>
      <c r="AQ73" s="964"/>
      <c r="AR73" s="964"/>
      <c r="AS73" s="964"/>
      <c r="AT73" s="964"/>
      <c r="AU73" s="964"/>
      <c r="AV73" s="964"/>
      <c r="AW73" s="964"/>
      <c r="AX73" s="1265"/>
      <c r="AY73" s="1539">
        <v>108208</v>
      </c>
      <c r="AZ73" s="1539">
        <v>125339</v>
      </c>
      <c r="BA73" s="1542">
        <v>-17131</v>
      </c>
      <c r="BB73" s="1431">
        <v>-0.13667733107811614</v>
      </c>
      <c r="BD73" s="1544">
        <v>108208</v>
      </c>
      <c r="BE73" s="1541">
        <v>125339</v>
      </c>
      <c r="BF73" s="1541">
        <v>110990</v>
      </c>
      <c r="BG73" s="1541">
        <v>139855</v>
      </c>
      <c r="BH73" s="1541">
        <v>199303</v>
      </c>
      <c r="BI73" s="1541">
        <v>233049</v>
      </c>
      <c r="BJ73" s="1541">
        <v>187046</v>
      </c>
      <c r="BK73" s="1544">
        <v>172484</v>
      </c>
      <c r="BL73" s="1539">
        <v>249127</v>
      </c>
      <c r="BM73" s="1544">
        <v>272619</v>
      </c>
      <c r="BN73" s="1288">
        <f>SUM(BN67:BN72)</f>
        <v>225194</v>
      </c>
      <c r="BO73" s="1352"/>
      <c r="BP73" s="1352"/>
      <c r="BQ73" s="1230"/>
      <c r="BS73" s="1181"/>
    </row>
    <row r="74" spans="1:71" ht="12.75" customHeight="1" x14ac:dyDescent="0.2">
      <c r="A74" s="969" t="s">
        <v>381</v>
      </c>
      <c r="B74" s="990"/>
      <c r="C74" s="990"/>
      <c r="D74" s="990"/>
      <c r="E74" s="961"/>
      <c r="F74" s="961"/>
      <c r="G74" s="961"/>
      <c r="H74" s="961"/>
      <c r="I74" s="961"/>
      <c r="J74" s="990"/>
      <c r="K74" s="990"/>
      <c r="L74" s="990"/>
      <c r="M74" s="1008"/>
      <c r="N74" s="990"/>
      <c r="O74" s="990"/>
      <c r="P74" s="990"/>
      <c r="Q74" s="1008"/>
      <c r="R74" s="990"/>
      <c r="S74" s="990"/>
      <c r="T74" s="990"/>
      <c r="U74" s="1008"/>
      <c r="V74" s="990"/>
      <c r="W74" s="990"/>
      <c r="X74" s="990"/>
      <c r="Y74" s="1008"/>
      <c r="Z74" s="990"/>
      <c r="AA74" s="990"/>
      <c r="AB74" s="990"/>
      <c r="AC74" s="1008"/>
      <c r="AD74" s="990"/>
      <c r="AE74" s="990"/>
      <c r="AF74" s="990"/>
      <c r="AG74" s="1008"/>
      <c r="AH74" s="990"/>
      <c r="AI74" s="990"/>
      <c r="AJ74" s="990"/>
      <c r="AK74" s="1008"/>
      <c r="AL74" s="990"/>
      <c r="AM74" s="990"/>
      <c r="AN74" s="990"/>
      <c r="AO74" s="1008"/>
      <c r="AP74" s="1008"/>
      <c r="AQ74" s="1008"/>
      <c r="AR74" s="1008"/>
      <c r="AS74" s="1008"/>
      <c r="AT74" s="1008"/>
      <c r="AU74" s="1008"/>
      <c r="AV74" s="1008"/>
      <c r="AW74" s="1008"/>
      <c r="AX74" s="1226"/>
      <c r="AY74" s="1226"/>
      <c r="AZ74" s="1226"/>
      <c r="BA74" s="1235"/>
      <c r="BB74" s="1235"/>
      <c r="BL74" s="964"/>
      <c r="BM74" s="964"/>
      <c r="BP74" s="1226"/>
      <c r="BQ74" s="1226"/>
      <c r="BS74" s="1181"/>
    </row>
    <row r="75" spans="1:71" x14ac:dyDescent="0.2">
      <c r="A75" s="989" t="s">
        <v>29</v>
      </c>
      <c r="B75" s="1226"/>
      <c r="C75" s="1226"/>
      <c r="D75" s="1226"/>
      <c r="J75" s="1025"/>
      <c r="K75" s="1025"/>
      <c r="L75" s="1025"/>
      <c r="M75" s="1025"/>
      <c r="N75" s="1025"/>
      <c r="O75" s="1025"/>
      <c r="P75" s="1025"/>
      <c r="Q75" s="1025"/>
      <c r="R75" s="1025"/>
      <c r="S75" s="1025"/>
      <c r="T75" s="1025"/>
      <c r="U75" s="1025"/>
      <c r="V75" s="1025"/>
      <c r="W75" s="1025"/>
      <c r="X75" s="1025"/>
      <c r="Y75" s="1025"/>
      <c r="Z75" s="1025"/>
      <c r="AA75" s="1025"/>
      <c r="AB75" s="1025"/>
      <c r="AC75" s="1025"/>
      <c r="AD75" s="1025"/>
      <c r="AE75" s="1025"/>
      <c r="AF75" s="1025"/>
      <c r="AG75" s="1025"/>
      <c r="AH75" s="1025"/>
      <c r="AI75" s="1025"/>
      <c r="AJ75" s="1025"/>
      <c r="AK75" s="1025"/>
      <c r="AL75" s="1025"/>
      <c r="AM75" s="1025"/>
      <c r="AN75" s="1025"/>
      <c r="AO75" s="1025"/>
      <c r="AP75" s="1025"/>
      <c r="AQ75" s="1025"/>
      <c r="AR75" s="1025"/>
      <c r="AS75" s="1025"/>
      <c r="AT75" s="1025"/>
      <c r="AU75" s="1025"/>
      <c r="AV75" s="1025"/>
      <c r="AW75" s="1025"/>
      <c r="AX75" s="1025"/>
      <c r="AY75" s="1025"/>
      <c r="AZ75" s="1025"/>
      <c r="BA75" s="1025"/>
      <c r="BB75" s="1025"/>
      <c r="BC75" s="1025"/>
      <c r="BH75" s="1025"/>
      <c r="BI75" s="1025"/>
      <c r="BJ75" s="1025"/>
      <c r="BK75" s="1025"/>
      <c r="BL75" s="1025"/>
      <c r="BM75" s="1025"/>
      <c r="BN75" s="1025"/>
      <c r="BO75" s="1235"/>
      <c r="BP75" s="1226"/>
      <c r="BQ75" s="1226"/>
      <c r="BS75" s="1181"/>
    </row>
    <row r="76" spans="1:71" x14ac:dyDescent="0.2">
      <c r="A76" s="964"/>
      <c r="C76" s="2057"/>
      <c r="J76" s="1258"/>
      <c r="K76" s="1258"/>
      <c r="L76" s="1258"/>
      <c r="M76" s="1025"/>
      <c r="N76" s="1258"/>
      <c r="O76" s="1258"/>
      <c r="P76" s="1258"/>
      <c r="Q76" s="1025"/>
      <c r="BL76" s="1025"/>
      <c r="BM76" s="1025"/>
      <c r="BN76" s="2052"/>
      <c r="BO76" s="2052"/>
      <c r="BP76" s="1226"/>
      <c r="BQ76" s="1226"/>
      <c r="BS76" s="1181"/>
    </row>
    <row r="77" spans="1:71" x14ac:dyDescent="0.2">
      <c r="A77" s="969" t="s">
        <v>310</v>
      </c>
      <c r="C77" s="2058"/>
      <c r="J77" s="1258"/>
      <c r="K77" s="1436"/>
      <c r="L77" s="1258"/>
      <c r="M77" s="1258"/>
      <c r="N77" s="1258"/>
      <c r="O77" s="1258"/>
      <c r="P77" s="1258"/>
      <c r="Q77" s="1258"/>
      <c r="BL77" s="1025"/>
      <c r="BM77" s="1025"/>
      <c r="BN77" s="2052"/>
      <c r="BO77" s="2052"/>
      <c r="BP77" s="1226"/>
      <c r="BQ77" s="1226"/>
      <c r="BS77" s="1181"/>
    </row>
    <row r="78" spans="1:71" x14ac:dyDescent="0.2">
      <c r="A78" s="964"/>
      <c r="C78" s="2057"/>
      <c r="K78" s="1258"/>
      <c r="L78" s="1258"/>
      <c r="M78" s="1025"/>
      <c r="O78" s="1258"/>
      <c r="P78" s="1258"/>
      <c r="Q78" s="1025"/>
      <c r="BL78" s="1025"/>
      <c r="BM78" s="1025"/>
      <c r="BO78" s="2052"/>
    </row>
    <row r="79" spans="1:71" x14ac:dyDescent="0.2">
      <c r="A79" s="969"/>
      <c r="K79" s="1258"/>
      <c r="L79" s="1258"/>
      <c r="M79" s="2075"/>
      <c r="O79" s="1258"/>
      <c r="P79" s="1258"/>
      <c r="Q79" s="2076"/>
      <c r="BA79" s="1390"/>
      <c r="BL79" s="964"/>
      <c r="BM79" s="964"/>
      <c r="BO79" s="2052"/>
    </row>
    <row r="80" spans="1:71" x14ac:dyDescent="0.2">
      <c r="K80" s="1258"/>
      <c r="L80" s="1258"/>
      <c r="M80" s="2076"/>
      <c r="O80" s="1258"/>
      <c r="P80" s="1258"/>
      <c r="Q80" s="2076"/>
      <c r="R80" s="1258"/>
      <c r="S80" s="1258"/>
      <c r="T80" s="1258"/>
      <c r="U80" s="1025"/>
      <c r="Y80" s="1025"/>
      <c r="AC80" s="1025"/>
      <c r="AG80" s="1025"/>
      <c r="AK80" s="1025"/>
      <c r="AO80" s="1025"/>
      <c r="AW80" s="1025"/>
      <c r="AX80" s="1226"/>
      <c r="AY80" s="1226"/>
      <c r="AZ80" s="1226"/>
      <c r="BL80" s="964"/>
      <c r="BM80" s="964"/>
      <c r="BO80" s="2052"/>
    </row>
    <row r="81" spans="5:65" x14ac:dyDescent="0.2">
      <c r="K81" s="1258"/>
      <c r="L81" s="1258"/>
      <c r="M81" s="1258"/>
      <c r="O81" s="1258"/>
      <c r="P81" s="1258"/>
      <c r="Q81" s="1258"/>
      <c r="R81" s="1258"/>
      <c r="S81" s="1258"/>
      <c r="T81" s="1258"/>
      <c r="U81" s="1258"/>
      <c r="V81" s="1258"/>
      <c r="W81" s="1258"/>
      <c r="X81" s="1258"/>
      <c r="Y81" s="1258"/>
      <c r="AC81" s="1025"/>
      <c r="AG81" s="1025"/>
      <c r="AK81" s="1025"/>
      <c r="AO81" s="1025"/>
      <c r="AW81" s="1025"/>
      <c r="AX81" s="1226"/>
      <c r="AY81" s="1226"/>
      <c r="AZ81" s="1226"/>
      <c r="BD81" s="1390"/>
      <c r="BE81" s="1390"/>
      <c r="BF81" s="1390"/>
      <c r="BG81" s="1390"/>
      <c r="BL81" s="964"/>
      <c r="BM81" s="964"/>
    </row>
    <row r="82" spans="5:65" x14ac:dyDescent="0.2">
      <c r="K82" s="1258"/>
      <c r="L82" s="1258"/>
      <c r="M82" s="2076"/>
      <c r="O82" s="1258"/>
      <c r="P82" s="1258"/>
      <c r="Q82" s="2076"/>
      <c r="S82" s="1258"/>
      <c r="T82" s="1258"/>
      <c r="U82" s="1025"/>
      <c r="Y82" s="1025"/>
      <c r="AC82" s="1025"/>
      <c r="AG82" s="1025"/>
      <c r="AK82" s="1025"/>
      <c r="AO82" s="1025"/>
      <c r="AW82" s="1025"/>
      <c r="AX82" s="1226"/>
      <c r="AY82" s="1226"/>
      <c r="AZ82" s="1226"/>
      <c r="BD82" s="1390"/>
      <c r="BE82" s="1390"/>
      <c r="BF82" s="1390"/>
      <c r="BG82" s="1390"/>
      <c r="BL82" s="1041"/>
      <c r="BM82" s="1041"/>
    </row>
    <row r="83" spans="5:65" x14ac:dyDescent="0.2">
      <c r="E83" s="1180"/>
      <c r="F83" s="1180"/>
      <c r="G83" s="1180"/>
      <c r="H83" s="1180"/>
      <c r="I83" s="1180"/>
      <c r="J83" s="1225"/>
      <c r="K83" s="1225"/>
      <c r="L83" s="1225"/>
      <c r="M83" s="2076"/>
      <c r="N83" s="1225"/>
      <c r="O83" s="1225"/>
      <c r="P83" s="1225"/>
      <c r="Q83" s="2076"/>
      <c r="S83" s="1258"/>
      <c r="T83" s="1258"/>
      <c r="U83" s="2076"/>
      <c r="V83" s="2076"/>
      <c r="W83" s="2076"/>
      <c r="X83" s="1258"/>
      <c r="Y83" s="1025"/>
      <c r="AC83" s="1025"/>
      <c r="AG83" s="1025"/>
      <c r="AK83" s="1025"/>
      <c r="AO83" s="1025"/>
      <c r="AW83" s="1025"/>
      <c r="AX83" s="1226"/>
      <c r="AY83" s="1226"/>
      <c r="AZ83" s="1226"/>
      <c r="BL83" s="1057"/>
      <c r="BM83" s="1057"/>
    </row>
    <row r="84" spans="5:65" x14ac:dyDescent="0.2">
      <c r="E84" s="1180"/>
      <c r="F84" s="1180"/>
      <c r="G84" s="1180"/>
      <c r="H84" s="1180"/>
      <c r="I84" s="1180"/>
      <c r="J84" s="1225"/>
      <c r="K84" s="1225"/>
      <c r="L84" s="1225"/>
      <c r="M84" s="2076"/>
      <c r="N84" s="1225"/>
      <c r="O84" s="1225"/>
      <c r="P84" s="1225"/>
      <c r="Q84" s="2076"/>
      <c r="S84" s="1258"/>
      <c r="T84" s="1258"/>
      <c r="U84" s="2076"/>
      <c r="V84" s="2076"/>
      <c r="W84" s="2076"/>
      <c r="X84" s="1258"/>
      <c r="Y84" s="1177"/>
      <c r="AC84" s="964"/>
      <c r="AG84" s="964"/>
      <c r="AK84" s="964"/>
      <c r="AO84" s="964"/>
      <c r="AW84" s="994"/>
      <c r="AX84" s="1226"/>
      <c r="AY84" s="1226"/>
      <c r="AZ84" s="1226"/>
      <c r="BD84" s="1390"/>
      <c r="BE84" s="1390"/>
      <c r="BF84" s="1390"/>
      <c r="BG84" s="1390"/>
      <c r="BL84" s="1057"/>
      <c r="BM84" s="1057"/>
    </row>
    <row r="85" spans="5:65" x14ac:dyDescent="0.2">
      <c r="E85" s="1180"/>
      <c r="F85" s="1180"/>
      <c r="G85" s="1180"/>
      <c r="H85" s="1180"/>
      <c r="I85" s="1180"/>
      <c r="J85" s="1225"/>
      <c r="K85" s="1225"/>
      <c r="L85" s="1225"/>
      <c r="M85" s="2076"/>
      <c r="N85" s="1225"/>
      <c r="O85" s="1225"/>
      <c r="P85" s="1225"/>
      <c r="Q85" s="2076"/>
      <c r="S85" s="1258"/>
      <c r="T85" s="1258"/>
      <c r="U85" s="2076"/>
      <c r="V85" s="2076"/>
      <c r="W85" s="2076"/>
      <c r="X85" s="1258"/>
      <c r="Y85" s="964"/>
      <c r="AC85" s="964"/>
      <c r="AG85" s="964"/>
      <c r="AK85" s="964"/>
      <c r="AO85" s="964"/>
      <c r="AW85" s="2077"/>
      <c r="AX85" s="1226"/>
      <c r="AY85" s="1226"/>
      <c r="AZ85" s="1226"/>
      <c r="BD85" s="1390"/>
      <c r="BE85" s="1390"/>
      <c r="BF85" s="1390"/>
      <c r="BG85" s="1390"/>
      <c r="BL85" s="1120"/>
      <c r="BM85" s="1120"/>
    </row>
    <row r="86" spans="5:65" x14ac:dyDescent="0.2">
      <c r="E86" s="1180"/>
      <c r="F86" s="1180"/>
      <c r="G86" s="1180"/>
      <c r="H86" s="1180"/>
      <c r="I86" s="1180"/>
      <c r="J86" s="1225"/>
      <c r="K86" s="1225"/>
      <c r="L86" s="1225"/>
      <c r="M86" s="1258"/>
      <c r="N86" s="1225"/>
      <c r="O86" s="1225"/>
      <c r="P86" s="1225"/>
      <c r="Q86" s="1258"/>
      <c r="S86" s="1258"/>
      <c r="T86" s="1258"/>
      <c r="U86" s="2076"/>
      <c r="V86" s="2076"/>
      <c r="W86" s="2076"/>
      <c r="X86" s="1258"/>
      <c r="Y86" s="1177"/>
      <c r="AC86" s="964"/>
      <c r="AG86" s="964"/>
      <c r="AK86" s="964"/>
      <c r="AO86" s="964"/>
      <c r="AW86" s="2077"/>
      <c r="AX86" s="1226"/>
      <c r="AY86" s="1226"/>
      <c r="AZ86" s="1226"/>
      <c r="BD86" s="1390"/>
      <c r="BE86" s="1390"/>
      <c r="BF86" s="1390"/>
      <c r="BG86" s="1390"/>
      <c r="BL86" s="1120"/>
      <c r="BM86" s="1120"/>
    </row>
    <row r="87" spans="5:65" x14ac:dyDescent="0.2">
      <c r="E87" s="1180"/>
      <c r="F87" s="1180"/>
      <c r="G87" s="1180"/>
      <c r="H87" s="1180"/>
      <c r="I87" s="1180"/>
      <c r="J87" s="1225"/>
      <c r="K87" s="1225"/>
      <c r="L87" s="1225"/>
      <c r="M87" s="1258"/>
      <c r="N87" s="1225"/>
      <c r="O87" s="1225"/>
      <c r="P87" s="1225"/>
      <c r="Q87" s="1258"/>
      <c r="R87" s="1225"/>
      <c r="S87" s="1225"/>
      <c r="T87" s="1225"/>
      <c r="U87" s="2076"/>
      <c r="V87" s="2076"/>
      <c r="W87" s="2076"/>
      <c r="X87" s="1258"/>
      <c r="Y87" s="1258"/>
      <c r="AO87" s="981"/>
      <c r="AP87" s="1057"/>
      <c r="AQ87" s="1057"/>
      <c r="AR87" s="1057"/>
      <c r="AS87" s="1057"/>
      <c r="AT87" s="1057"/>
      <c r="AU87" s="1057"/>
      <c r="AV87" s="1057"/>
      <c r="AW87" s="975"/>
      <c r="AX87" s="1226"/>
      <c r="AY87" s="1226"/>
      <c r="AZ87" s="1226"/>
      <c r="BD87" s="1390"/>
      <c r="BE87" s="1390"/>
      <c r="BF87" s="1390"/>
      <c r="BG87" s="1390"/>
      <c r="BL87" s="1226"/>
      <c r="BM87" s="1226"/>
    </row>
    <row r="88" spans="5:65" x14ac:dyDescent="0.2">
      <c r="E88" s="1180"/>
      <c r="F88" s="1180"/>
      <c r="G88" s="1180"/>
      <c r="H88" s="1180"/>
      <c r="I88" s="1180"/>
      <c r="J88" s="1225"/>
      <c r="K88" s="1225"/>
      <c r="L88" s="1225"/>
      <c r="M88" s="1258"/>
      <c r="N88" s="1225"/>
      <c r="O88" s="1225"/>
      <c r="P88" s="1225"/>
      <c r="Q88" s="1258"/>
      <c r="R88" s="1225"/>
      <c r="S88" s="1225"/>
      <c r="T88" s="1225"/>
      <c r="U88" s="2076"/>
      <c r="V88" s="2076"/>
      <c r="W88" s="2076"/>
      <c r="X88" s="1258"/>
      <c r="Y88" s="1258"/>
      <c r="AO88" s="981"/>
      <c r="AP88" s="1057"/>
      <c r="AQ88" s="1057"/>
      <c r="AR88" s="1057"/>
      <c r="AS88" s="1057"/>
      <c r="AT88" s="1057"/>
      <c r="AU88" s="1057"/>
      <c r="AV88" s="1057"/>
      <c r="AW88" s="975"/>
      <c r="AX88" s="1226"/>
      <c r="AY88" s="1226"/>
      <c r="AZ88" s="1226"/>
      <c r="BD88" s="1390"/>
      <c r="BE88" s="1390"/>
      <c r="BF88" s="1390"/>
      <c r="BG88" s="1390"/>
      <c r="BL88" s="1226"/>
      <c r="BM88" s="1226"/>
    </row>
    <row r="89" spans="5:65" x14ac:dyDescent="0.2">
      <c r="E89" s="1180"/>
      <c r="F89" s="1180"/>
      <c r="G89" s="1180"/>
      <c r="H89" s="1180"/>
      <c r="I89" s="1180"/>
      <c r="J89" s="1225"/>
      <c r="K89" s="1225"/>
      <c r="L89" s="1225"/>
      <c r="N89" s="1225"/>
      <c r="O89" s="1225"/>
      <c r="P89" s="1225"/>
      <c r="R89" s="1225"/>
      <c r="S89" s="1225"/>
      <c r="T89" s="1225"/>
      <c r="U89" s="2076"/>
      <c r="V89" s="2076"/>
      <c r="W89" s="2076"/>
      <c r="X89" s="1258"/>
      <c r="Y89" s="1258"/>
      <c r="AO89" s="1057"/>
      <c r="AP89" s="1057"/>
      <c r="AQ89" s="1057"/>
      <c r="AR89" s="1057"/>
      <c r="AS89" s="1057"/>
      <c r="AT89" s="1057"/>
      <c r="AU89" s="1057"/>
      <c r="AV89" s="1057"/>
      <c r="AW89" s="1057"/>
      <c r="AX89" s="1226"/>
      <c r="AY89" s="1226"/>
      <c r="AZ89" s="1226"/>
      <c r="BD89" s="1390"/>
      <c r="BE89" s="1390"/>
      <c r="BF89" s="1390"/>
      <c r="BG89" s="1390"/>
      <c r="BL89" s="1226"/>
      <c r="BM89" s="1226"/>
    </row>
    <row r="90" spans="5:65" x14ac:dyDescent="0.2">
      <c r="E90" s="1180"/>
      <c r="F90" s="1180"/>
      <c r="G90" s="1180"/>
      <c r="H90" s="1180"/>
      <c r="I90" s="1180"/>
      <c r="J90" s="1225"/>
      <c r="K90" s="1225"/>
      <c r="L90" s="1225"/>
      <c r="N90" s="1225"/>
      <c r="O90" s="1225"/>
      <c r="P90" s="1225"/>
      <c r="R90" s="1225"/>
      <c r="S90" s="1225"/>
      <c r="T90" s="1225"/>
      <c r="U90" s="1258"/>
      <c r="Y90" s="1258"/>
      <c r="AO90" s="1120"/>
      <c r="AP90" s="1120"/>
      <c r="AQ90" s="1120"/>
      <c r="AR90" s="1120"/>
      <c r="AS90" s="1120"/>
      <c r="AT90" s="1120"/>
      <c r="AU90" s="1120"/>
      <c r="AV90" s="1120"/>
      <c r="AW90" s="1120"/>
      <c r="AX90" s="1226"/>
      <c r="AY90" s="1226"/>
      <c r="AZ90" s="1226"/>
      <c r="BD90" s="1390"/>
      <c r="BE90" s="1390"/>
      <c r="BF90" s="1390"/>
      <c r="BG90" s="1390"/>
      <c r="BL90" s="1226"/>
      <c r="BM90" s="1226"/>
    </row>
    <row r="91" spans="5:65" x14ac:dyDescent="0.2">
      <c r="E91" s="1180"/>
      <c r="F91" s="1180"/>
      <c r="G91" s="1180"/>
      <c r="H91" s="1180"/>
      <c r="I91" s="1180"/>
      <c r="J91" s="1225"/>
      <c r="K91" s="1225"/>
      <c r="L91" s="1225"/>
      <c r="N91" s="1225"/>
      <c r="O91" s="1225"/>
      <c r="P91" s="1225"/>
      <c r="R91" s="1225"/>
      <c r="S91" s="1225"/>
      <c r="T91" s="1225"/>
      <c r="U91" s="1258"/>
      <c r="AO91" s="1120"/>
      <c r="AP91" s="1120"/>
      <c r="AQ91" s="1120"/>
      <c r="AR91" s="1120"/>
      <c r="AS91" s="1120"/>
      <c r="AT91" s="1120"/>
      <c r="AU91" s="1120"/>
      <c r="AV91" s="1120"/>
      <c r="AW91" s="1120"/>
      <c r="AX91" s="1226"/>
      <c r="AY91" s="1226"/>
      <c r="AZ91" s="1226"/>
      <c r="BL91" s="1226"/>
      <c r="BM91" s="1226"/>
    </row>
    <row r="92" spans="5:65" x14ac:dyDescent="0.2">
      <c r="E92" s="1180"/>
      <c r="F92" s="1180"/>
      <c r="G92" s="1180"/>
      <c r="H92" s="1180"/>
      <c r="I92" s="1180"/>
      <c r="J92" s="1225"/>
      <c r="K92" s="1225"/>
      <c r="L92" s="1225"/>
      <c r="N92" s="1225"/>
      <c r="O92" s="1225"/>
      <c r="P92" s="1225"/>
      <c r="R92" s="1225"/>
      <c r="S92" s="1225"/>
      <c r="T92" s="1225"/>
      <c r="U92" s="1258"/>
      <c r="Y92" s="1258"/>
      <c r="AO92" s="1226"/>
      <c r="AP92" s="1226"/>
      <c r="AQ92" s="1226"/>
      <c r="AR92" s="1226"/>
      <c r="AS92" s="1226"/>
      <c r="AT92" s="1226"/>
      <c r="AU92" s="1226"/>
      <c r="AV92" s="1226"/>
      <c r="AW92" s="1226"/>
      <c r="AX92" s="1226"/>
      <c r="AY92" s="1226"/>
      <c r="AZ92" s="1226"/>
      <c r="BA92" s="1025"/>
      <c r="BB92" s="975"/>
      <c r="BD92" s="1390"/>
      <c r="BE92" s="1390"/>
      <c r="BF92" s="1390"/>
      <c r="BG92" s="1390"/>
    </row>
    <row r="93" spans="5:65" x14ac:dyDescent="0.2">
      <c r="R93" s="1225"/>
      <c r="S93" s="1225"/>
      <c r="T93" s="1225"/>
      <c r="AO93" s="1226"/>
      <c r="AP93" s="1226"/>
      <c r="AQ93" s="1226"/>
      <c r="AR93" s="1226"/>
      <c r="AS93" s="1226"/>
      <c r="AT93" s="1226"/>
      <c r="AU93" s="1226"/>
      <c r="AV93" s="1226"/>
      <c r="AW93" s="1226"/>
      <c r="AX93" s="1226"/>
      <c r="AY93" s="1226"/>
      <c r="AZ93" s="1226"/>
      <c r="BD93" s="1390"/>
      <c r="BE93" s="1390"/>
      <c r="BF93" s="1390"/>
      <c r="BG93" s="1390"/>
    </row>
    <row r="94" spans="5:65" x14ac:dyDescent="0.2">
      <c r="R94" s="1225"/>
      <c r="S94" s="1225"/>
      <c r="T94" s="1225"/>
      <c r="AO94" s="1226"/>
      <c r="AP94" s="1226"/>
      <c r="AQ94" s="1226"/>
      <c r="AR94" s="1226"/>
      <c r="AS94" s="1226"/>
      <c r="AT94" s="1226"/>
      <c r="AU94" s="1226"/>
      <c r="AV94" s="1226"/>
      <c r="AW94" s="1226"/>
      <c r="AX94" s="1226"/>
      <c r="AY94" s="1226"/>
      <c r="AZ94" s="1226"/>
      <c r="BD94" s="1390"/>
      <c r="BE94" s="1390"/>
      <c r="BF94" s="1390"/>
      <c r="BG94" s="1390"/>
    </row>
    <row r="95" spans="5:65" x14ac:dyDescent="0.2">
      <c r="R95" s="1225"/>
      <c r="S95" s="1225"/>
      <c r="T95" s="1225"/>
      <c r="V95" s="1225"/>
      <c r="W95" s="1225"/>
      <c r="X95" s="1225"/>
      <c r="AO95" s="1226"/>
      <c r="AP95" s="1226"/>
      <c r="AQ95" s="1226"/>
      <c r="AR95" s="1226"/>
      <c r="AS95" s="1226"/>
      <c r="AT95" s="1226"/>
      <c r="AU95" s="1226"/>
      <c r="AV95" s="1226"/>
      <c r="AW95" s="1226"/>
      <c r="AX95" s="1226"/>
      <c r="AY95" s="1226"/>
      <c r="AZ95" s="1226"/>
      <c r="BD95" s="1390"/>
      <c r="BE95" s="1390"/>
      <c r="BF95" s="1390"/>
      <c r="BG95" s="1390"/>
    </row>
    <row r="96" spans="5:65" x14ac:dyDescent="0.2">
      <c r="R96" s="1225"/>
      <c r="S96" s="1225"/>
      <c r="T96" s="1225"/>
      <c r="V96" s="1225"/>
      <c r="W96" s="1225"/>
      <c r="X96" s="1225"/>
      <c r="AO96" s="1226"/>
      <c r="AP96" s="1226"/>
      <c r="AQ96" s="1226"/>
      <c r="AR96" s="1226"/>
      <c r="AS96" s="1226"/>
      <c r="AT96" s="1226"/>
      <c r="AU96" s="1226"/>
      <c r="AV96" s="1226"/>
      <c r="AW96" s="1226"/>
      <c r="AX96" s="1226"/>
      <c r="AY96" s="1226"/>
      <c r="AZ96" s="1226"/>
      <c r="BD96" s="1390"/>
      <c r="BE96" s="1390"/>
      <c r="BF96" s="1390"/>
      <c r="BG96" s="1390"/>
    </row>
  </sheetData>
  <mergeCells count="10">
    <mergeCell ref="C65:D65"/>
    <mergeCell ref="C66:D66"/>
    <mergeCell ref="BA66:BB66"/>
    <mergeCell ref="A31:B31"/>
    <mergeCell ref="C53:D53"/>
    <mergeCell ref="C54:D54"/>
    <mergeCell ref="BA54:BB54"/>
    <mergeCell ref="C10:D10"/>
    <mergeCell ref="C11:D11"/>
    <mergeCell ref="BA11:BB11"/>
  </mergeCells>
  <conditionalFormatting sqref="A64 AP60:AW63 A72:A73 BH63:BM63 A51:A52 BL43:BO43 A38:A41 A44 BH35:BM35 A34 BH47:BL47 Z47:AG47 V35:AW35 BH44:BJ44 BL36:BM42 BL60:BM62 X36:AW43 AY35:AZ43 BE36:BK43 M36:P43 B34:B47">
    <cfRule type="cellIs" dxfId="39" priority="27" stopIfTrue="1" operator="equal">
      <formula>0</formula>
    </cfRule>
  </conditionalFormatting>
  <conditionalFormatting sqref="BG63 BG47 BG44 BF35:BG35">
    <cfRule type="cellIs" dxfId="38" priority="26" stopIfTrue="1" operator="equal">
      <formula>0</formula>
    </cfRule>
  </conditionalFormatting>
  <conditionalFormatting sqref="O35:U35">
    <cfRule type="cellIs" dxfId="37" priority="25" stopIfTrue="1" operator="equal">
      <formula>0</formula>
    </cfRule>
  </conditionalFormatting>
  <conditionalFormatting sqref="BF63 BF47 BF44">
    <cfRule type="cellIs" dxfId="36" priority="23" stopIfTrue="1" operator="equal">
      <formula>0</formula>
    </cfRule>
  </conditionalFormatting>
  <conditionalFormatting sqref="M35:N35">
    <cfRule type="cellIs" dxfId="35" priority="21" stopIfTrue="1" operator="equal">
      <formula>0</formula>
    </cfRule>
  </conditionalFormatting>
  <conditionalFormatting sqref="Q36:W43">
    <cfRule type="cellIs" dxfId="34" priority="20" stopIfTrue="1" operator="equal">
      <formula>0</formula>
    </cfRule>
  </conditionalFormatting>
  <conditionalFormatting sqref="BE35">
    <cfRule type="cellIs" dxfId="33" priority="18" stopIfTrue="1" operator="equal">
      <formula>0</formula>
    </cfRule>
  </conditionalFormatting>
  <conditionalFormatting sqref="BE63 BE47 BE44">
    <cfRule type="cellIs" dxfId="32" priority="17" stopIfTrue="1" operator="equal">
      <formula>0</formula>
    </cfRule>
  </conditionalFormatting>
  <conditionalFormatting sqref="J36:L43">
    <cfRule type="cellIs" dxfId="31" priority="10" stopIfTrue="1" operator="equal">
      <formula>0</formula>
    </cfRule>
  </conditionalFormatting>
  <conditionalFormatting sqref="F35:L35">
    <cfRule type="cellIs" dxfId="30" priority="9" stopIfTrue="1" operator="equal">
      <formula>0</formula>
    </cfRule>
  </conditionalFormatting>
  <conditionalFormatting sqref="BD35">
    <cfRule type="cellIs" dxfId="29" priority="7" stopIfTrue="1" operator="equal">
      <formula>0</formula>
    </cfRule>
  </conditionalFormatting>
  <conditionalFormatting sqref="BD63 BD47">
    <cfRule type="cellIs" dxfId="28" priority="6" stopIfTrue="1" operator="equal">
      <formula>0</formula>
    </cfRule>
  </conditionalFormatting>
  <conditionalFormatting sqref="BD36:BD43">
    <cfRule type="cellIs" dxfId="27" priority="5" stopIfTrue="1" operator="equal">
      <formula>0</formula>
    </cfRule>
  </conditionalFormatting>
  <conditionalFormatting sqref="I36:I43">
    <cfRule type="cellIs" dxfId="26" priority="4" stopIfTrue="1" operator="equal">
      <formula>0</formula>
    </cfRule>
  </conditionalFormatting>
  <conditionalFormatting sqref="I35">
    <cfRule type="cellIs" dxfId="25" priority="3" stopIfTrue="1" operator="equal">
      <formula>0</formula>
    </cfRule>
  </conditionalFormatting>
  <conditionalFormatting sqref="F36:H43">
    <cfRule type="cellIs" dxfId="24" priority="2" stopIfTrue="1" operator="equal">
      <formula>0</formula>
    </cfRule>
  </conditionalFormatting>
  <conditionalFormatting sqref="F35:H35">
    <cfRule type="cellIs" dxfId="23" priority="1" stopIfTrue="1" operator="equal">
      <formula>0</formula>
    </cfRule>
  </conditionalFormatting>
  <printOptions horizontalCentered="1"/>
  <pageMargins left="0.3" right="0.3" top="0.4" bottom="0.6" header="0" footer="0.3"/>
  <pageSetup scale="54" orientation="landscape" r:id="rId1"/>
  <headerFooter alignWithMargins="0">
    <oddFooter>&amp;L&amp;F&amp;CPage 8</oddFooter>
  </headerFooter>
  <colBreaks count="1" manualBreakCount="1">
    <brk id="66" max="8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9"/>
  <sheetViews>
    <sheetView zoomScale="80" zoomScaleNormal="80" zoomScaleSheetLayoutView="80" zoomScalePageLayoutView="70" workbookViewId="0">
      <selection activeCell="BR83" sqref="BR83"/>
    </sheetView>
  </sheetViews>
  <sheetFormatPr defaultRowHeight="12.75" x14ac:dyDescent="0.2"/>
  <cols>
    <col min="1" max="1" width="2.7109375" style="1225" customWidth="1"/>
    <col min="2" max="2" width="52" style="1225" customWidth="1"/>
    <col min="3" max="3" width="12.28515625" style="1225" customWidth="1"/>
    <col min="4" max="4" width="9.7109375" style="1225" customWidth="1"/>
    <col min="5" max="5" width="1.5703125" style="1181" customWidth="1"/>
    <col min="6" max="8" width="9.42578125" style="1181" hidden="1" customWidth="1"/>
    <col min="9" max="9" width="9.7109375" style="1181" customWidth="1"/>
    <col min="10" max="10" width="9.42578125" style="1226" customWidth="1"/>
    <col min="11" max="11" width="8.140625" style="1226" bestFit="1" customWidth="1"/>
    <col min="12" max="12" width="9.28515625" style="1226" customWidth="1"/>
    <col min="13" max="13" width="9.42578125" style="1226" customWidth="1"/>
    <col min="14" max="14" width="9.7109375" style="1226" customWidth="1"/>
    <col min="15" max="15" width="8.140625" style="1226" bestFit="1" customWidth="1"/>
    <col min="16" max="16" width="9.28515625" style="1226" customWidth="1"/>
    <col min="17" max="17" width="9.42578125" style="1226" customWidth="1"/>
    <col min="18" max="20" width="9.28515625" style="1226" hidden="1" customWidth="1"/>
    <col min="21" max="21" width="9.42578125" style="1226" hidden="1" customWidth="1"/>
    <col min="22" max="24" width="9.28515625" style="1226" hidden="1" customWidth="1"/>
    <col min="25" max="26" width="9.42578125" style="1226" hidden="1" customWidth="1"/>
    <col min="27" max="28" width="9.28515625" style="1226" hidden="1" customWidth="1"/>
    <col min="29" max="30" width="9.42578125" style="1226" hidden="1" customWidth="1"/>
    <col min="31" max="38" width="9.28515625" style="1226" hidden="1" customWidth="1"/>
    <col min="39" max="40" width="9.7109375" style="1226" hidden="1" customWidth="1"/>
    <col min="41" max="49" width="9.7109375" style="1225" hidden="1" customWidth="1"/>
    <col min="50" max="50" width="1.5703125" style="1226" hidden="1" customWidth="1"/>
    <col min="51" max="53" width="10" style="1225" hidden="1" customWidth="1"/>
    <col min="54" max="54" width="9.7109375" style="1225" hidden="1" customWidth="1"/>
    <col min="55" max="55" width="1.5703125" style="1225" customWidth="1"/>
    <col min="56" max="60" width="9.5703125" style="1225" customWidth="1"/>
    <col min="61" max="61" width="9.5703125" style="1225" hidden="1" customWidth="1"/>
    <col min="62" max="68" width="9.7109375" style="1225" hidden="1" customWidth="1"/>
    <col min="69" max="69" width="1.5703125" style="1225" customWidth="1"/>
    <col min="70" max="71" width="9.140625" style="1225"/>
    <col min="72" max="16384" width="9.140625" style="1180"/>
  </cols>
  <sheetData>
    <row r="1" spans="1:76" ht="6" customHeight="1" x14ac:dyDescent="0.2"/>
    <row r="5" spans="1:76" ht="5.25" customHeight="1" x14ac:dyDescent="0.2">
      <c r="A5" s="1226"/>
      <c r="B5" s="1226"/>
      <c r="C5" s="1226"/>
      <c r="D5" s="1226"/>
      <c r="AO5" s="1226"/>
      <c r="AP5" s="1226"/>
      <c r="AQ5" s="1226"/>
    </row>
    <row r="6" spans="1:76" ht="18" customHeight="1" x14ac:dyDescent="0.2">
      <c r="A6" s="1227" t="s">
        <v>383</v>
      </c>
      <c r="B6" s="1226"/>
      <c r="C6" s="1226"/>
      <c r="D6" s="1226"/>
      <c r="K6" s="1257"/>
      <c r="L6" s="1257"/>
      <c r="M6" s="1257"/>
      <c r="N6" s="1257"/>
      <c r="O6" s="1257"/>
      <c r="P6" s="1257"/>
      <c r="Q6" s="1257"/>
      <c r="R6" s="1257"/>
      <c r="S6" s="1257"/>
      <c r="T6" s="1257"/>
      <c r="AO6" s="1226"/>
      <c r="AP6" s="1226"/>
      <c r="AQ6" s="1226"/>
      <c r="BD6" s="1390"/>
      <c r="BE6" s="1390"/>
      <c r="BF6" s="1390"/>
      <c r="BG6" s="1390"/>
    </row>
    <row r="7" spans="1:76" ht="18" customHeight="1" x14ac:dyDescent="0.2">
      <c r="A7" s="1228" t="s">
        <v>294</v>
      </c>
      <c r="B7" s="966"/>
      <c r="C7" s="966"/>
      <c r="D7" s="966"/>
      <c r="E7" s="917"/>
      <c r="F7" s="917"/>
      <c r="G7" s="917"/>
      <c r="H7" s="917"/>
      <c r="I7" s="917"/>
      <c r="J7" s="966"/>
      <c r="K7" s="2082"/>
      <c r="L7" s="2082"/>
      <c r="M7" s="2082"/>
      <c r="N7" s="2082"/>
      <c r="O7" s="2082"/>
      <c r="P7" s="2082"/>
      <c r="Q7" s="2083"/>
      <c r="R7" s="2084"/>
      <c r="S7" s="2083"/>
      <c r="T7" s="2083"/>
      <c r="U7" s="966"/>
      <c r="V7" s="966"/>
      <c r="W7" s="966"/>
      <c r="X7" s="966"/>
      <c r="Y7" s="966"/>
      <c r="Z7" s="966"/>
      <c r="AA7" s="966"/>
      <c r="AB7" s="966"/>
      <c r="AC7" s="966"/>
      <c r="AD7" s="966"/>
      <c r="AE7" s="966"/>
      <c r="AF7" s="966"/>
      <c r="AG7" s="966"/>
      <c r="AH7" s="966"/>
      <c r="AI7" s="966"/>
      <c r="AJ7" s="966"/>
      <c r="AK7" s="966"/>
      <c r="AL7" s="966"/>
      <c r="AM7" s="966"/>
      <c r="AN7" s="966"/>
      <c r="AO7" s="1226"/>
      <c r="AP7" s="1226"/>
      <c r="AQ7" s="1226"/>
      <c r="BD7" s="1390"/>
      <c r="BE7" s="1390"/>
      <c r="BF7" s="1390"/>
      <c r="BG7" s="1390"/>
    </row>
    <row r="8" spans="1:76" ht="15" x14ac:dyDescent="0.2">
      <c r="A8" s="967" t="s">
        <v>414</v>
      </c>
      <c r="B8" s="966"/>
      <c r="C8" s="966"/>
      <c r="D8" s="966"/>
      <c r="E8" s="917"/>
      <c r="F8" s="917"/>
      <c r="G8" s="917"/>
      <c r="H8" s="917"/>
      <c r="I8" s="917"/>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1226"/>
      <c r="AP8" s="1226"/>
      <c r="AQ8" s="1226"/>
      <c r="BD8" s="1390"/>
      <c r="BE8" s="1390"/>
      <c r="BF8" s="1390"/>
      <c r="BG8" s="1390"/>
    </row>
    <row r="9" spans="1:76" ht="9.75" customHeight="1" x14ac:dyDescent="0.2">
      <c r="A9" s="964"/>
      <c r="B9" s="964"/>
      <c r="C9" s="964"/>
      <c r="D9" s="964"/>
      <c r="E9" s="915"/>
      <c r="F9" s="915"/>
      <c r="G9" s="915"/>
      <c r="H9" s="915"/>
      <c r="I9" s="915"/>
      <c r="J9" s="999"/>
      <c r="K9" s="999"/>
      <c r="L9" s="999"/>
      <c r="M9" s="964"/>
      <c r="N9" s="999"/>
      <c r="O9" s="999"/>
      <c r="P9" s="999"/>
      <c r="Q9" s="964"/>
      <c r="R9" s="999"/>
      <c r="S9" s="999"/>
      <c r="T9" s="999"/>
      <c r="U9" s="964"/>
      <c r="V9" s="999"/>
      <c r="W9" s="999"/>
      <c r="X9" s="999"/>
      <c r="Y9" s="964"/>
      <c r="Z9" s="999"/>
      <c r="AA9" s="964"/>
      <c r="AB9" s="999"/>
      <c r="AC9" s="964"/>
      <c r="AD9" s="999"/>
      <c r="AE9" s="964"/>
      <c r="AF9" s="999"/>
      <c r="AG9" s="964"/>
      <c r="AH9" s="999"/>
      <c r="AI9" s="964"/>
      <c r="AJ9" s="999"/>
      <c r="AK9" s="964"/>
      <c r="AL9" s="999"/>
      <c r="AM9" s="964"/>
      <c r="AN9" s="964"/>
      <c r="AO9" s="1226"/>
      <c r="AP9" s="1226"/>
      <c r="AQ9" s="1226"/>
      <c r="BA9" s="1260"/>
      <c r="BB9" s="1260"/>
      <c r="BN9" s="1226"/>
      <c r="BO9" s="1226"/>
      <c r="BP9" s="1226"/>
    </row>
    <row r="10" spans="1:76" x14ac:dyDescent="0.2">
      <c r="A10" s="968" t="s">
        <v>1</v>
      </c>
      <c r="B10" s="969"/>
      <c r="C10" s="2455" t="s">
        <v>456</v>
      </c>
      <c r="D10" s="2456"/>
      <c r="E10" s="919"/>
      <c r="F10" s="921"/>
      <c r="G10" s="921"/>
      <c r="H10" s="921"/>
      <c r="I10" s="2280"/>
      <c r="J10" s="1000"/>
      <c r="K10" s="1000"/>
      <c r="L10" s="1000"/>
      <c r="M10" s="1261"/>
      <c r="N10" s="1000"/>
      <c r="O10" s="1000"/>
      <c r="P10" s="1000"/>
      <c r="Q10" s="1261"/>
      <c r="R10" s="1000"/>
      <c r="S10" s="1000"/>
      <c r="T10" s="1000"/>
      <c r="U10" s="1261"/>
      <c r="V10" s="1000"/>
      <c r="W10" s="1000"/>
      <c r="X10" s="1000"/>
      <c r="Y10" s="1261"/>
      <c r="Z10" s="1262"/>
      <c r="AA10" s="1263"/>
      <c r="AB10" s="1000"/>
      <c r="AC10" s="1261"/>
      <c r="AD10" s="1262"/>
      <c r="AE10" s="1263"/>
      <c r="AF10" s="1000"/>
      <c r="AG10" s="1261"/>
      <c r="AI10" s="1263"/>
      <c r="AJ10" s="964"/>
      <c r="AK10" s="1261"/>
      <c r="AL10" s="1263"/>
      <c r="AN10" s="1000"/>
      <c r="AO10" s="1261"/>
      <c r="AP10" s="1263"/>
      <c r="AQ10" s="1263"/>
      <c r="AR10" s="1263"/>
      <c r="AS10" s="1263"/>
      <c r="AT10" s="1264"/>
      <c r="AU10" s="1261"/>
      <c r="AV10" s="1261"/>
      <c r="AW10" s="1261"/>
      <c r="AX10" s="1265"/>
      <c r="AY10" s="1006" t="s">
        <v>448</v>
      </c>
      <c r="AZ10" s="1006"/>
      <c r="BA10" s="1006" t="s">
        <v>441</v>
      </c>
      <c r="BB10" s="1007"/>
      <c r="BC10" s="1008"/>
      <c r="BD10" s="1009"/>
      <c r="BE10" s="1009"/>
      <c r="BF10" s="1009"/>
      <c r="BG10" s="1009"/>
      <c r="BH10" s="1009"/>
      <c r="BI10" s="1009"/>
      <c r="BJ10" s="1009"/>
      <c r="BK10" s="1009"/>
      <c r="BL10" s="1262"/>
      <c r="BM10" s="1264"/>
      <c r="BN10" s="1009"/>
      <c r="BO10" s="2279"/>
      <c r="BP10" s="2278"/>
      <c r="BQ10" s="1266"/>
    </row>
    <row r="11" spans="1:76" ht="13.5" x14ac:dyDescent="0.2">
      <c r="A11" s="968" t="s">
        <v>2</v>
      </c>
      <c r="B11" s="969"/>
      <c r="C11" s="2457" t="s">
        <v>39</v>
      </c>
      <c r="D11" s="2458"/>
      <c r="E11" s="924"/>
      <c r="F11" s="925" t="s">
        <v>452</v>
      </c>
      <c r="G11" s="925" t="s">
        <v>453</v>
      </c>
      <c r="H11" s="925" t="s">
        <v>454</v>
      </c>
      <c r="I11" s="2281" t="s">
        <v>455</v>
      </c>
      <c r="J11" s="1010" t="s">
        <v>399</v>
      </c>
      <c r="K11" s="1010" t="s">
        <v>398</v>
      </c>
      <c r="L11" s="1010" t="s">
        <v>397</v>
      </c>
      <c r="M11" s="1011" t="s">
        <v>395</v>
      </c>
      <c r="N11" s="1010" t="s">
        <v>373</v>
      </c>
      <c r="O11" s="1010" t="s">
        <v>374</v>
      </c>
      <c r="P11" s="1010" t="s">
        <v>375</v>
      </c>
      <c r="Q11" s="1011" t="s">
        <v>376</v>
      </c>
      <c r="R11" s="1010" t="s">
        <v>330</v>
      </c>
      <c r="S11" s="1010" t="s">
        <v>329</v>
      </c>
      <c r="T11" s="1010" t="s">
        <v>328</v>
      </c>
      <c r="U11" s="1011" t="s">
        <v>326</v>
      </c>
      <c r="V11" s="1010" t="s">
        <v>282</v>
      </c>
      <c r="W11" s="1010" t="s">
        <v>283</v>
      </c>
      <c r="X11" s="1010" t="s">
        <v>284</v>
      </c>
      <c r="Y11" s="1011" t="s">
        <v>285</v>
      </c>
      <c r="Z11" s="1012" t="s">
        <v>220</v>
      </c>
      <c r="AA11" s="1010" t="s">
        <v>221</v>
      </c>
      <c r="AB11" s="1010" t="s">
        <v>222</v>
      </c>
      <c r="AC11" s="1011" t="s">
        <v>219</v>
      </c>
      <c r="AD11" s="1012" t="s">
        <v>185</v>
      </c>
      <c r="AE11" s="1010" t="s">
        <v>186</v>
      </c>
      <c r="AF11" s="1010" t="s">
        <v>187</v>
      </c>
      <c r="AG11" s="1011" t="s">
        <v>188</v>
      </c>
      <c r="AH11" s="1010" t="s">
        <v>118</v>
      </c>
      <c r="AI11" s="1010" t="s">
        <v>117</v>
      </c>
      <c r="AJ11" s="1010" t="s">
        <v>116</v>
      </c>
      <c r="AK11" s="1011" t="s">
        <v>115</v>
      </c>
      <c r="AL11" s="1010" t="s">
        <v>83</v>
      </c>
      <c r="AM11" s="1010" t="s">
        <v>84</v>
      </c>
      <c r="AN11" s="1010" t="s">
        <v>85</v>
      </c>
      <c r="AO11" s="1011" t="s">
        <v>30</v>
      </c>
      <c r="AP11" s="1010" t="s">
        <v>31</v>
      </c>
      <c r="AQ11" s="1010" t="s">
        <v>32</v>
      </c>
      <c r="AR11" s="1010" t="s">
        <v>33</v>
      </c>
      <c r="AS11" s="1010" t="s">
        <v>34</v>
      </c>
      <c r="AT11" s="1013" t="s">
        <v>35</v>
      </c>
      <c r="AU11" s="1011" t="s">
        <v>36</v>
      </c>
      <c r="AV11" s="1011" t="s">
        <v>37</v>
      </c>
      <c r="AW11" s="1011" t="s">
        <v>38</v>
      </c>
      <c r="AX11" s="1014"/>
      <c r="AY11" s="1010" t="s">
        <v>399</v>
      </c>
      <c r="AZ11" s="1010" t="s">
        <v>373</v>
      </c>
      <c r="BA11" s="2485" t="s">
        <v>39</v>
      </c>
      <c r="BB11" s="2458"/>
      <c r="BC11" s="1015"/>
      <c r="BD11" s="1012" t="s">
        <v>438</v>
      </c>
      <c r="BE11" s="1012" t="s">
        <v>385</v>
      </c>
      <c r="BF11" s="1012" t="s">
        <v>332</v>
      </c>
      <c r="BG11" s="1012" t="s">
        <v>287</v>
      </c>
      <c r="BH11" s="1012" t="s">
        <v>224</v>
      </c>
      <c r="BI11" s="1012" t="s">
        <v>120</v>
      </c>
      <c r="BJ11" s="1012" t="s">
        <v>119</v>
      </c>
      <c r="BK11" s="1012" t="s">
        <v>43</v>
      </c>
      <c r="BL11" s="1012" t="s">
        <v>40</v>
      </c>
      <c r="BM11" s="1013" t="s">
        <v>41</v>
      </c>
      <c r="BN11" s="1013" t="s">
        <v>138</v>
      </c>
      <c r="BO11" s="1013" t="s">
        <v>139</v>
      </c>
      <c r="BP11" s="1012" t="s">
        <v>140</v>
      </c>
      <c r="BQ11" s="1266"/>
      <c r="BR11" s="1226"/>
      <c r="BS11" s="1226"/>
      <c r="BV11" s="1181"/>
      <c r="BW11" s="1181"/>
      <c r="BX11" s="1181"/>
    </row>
    <row r="12" spans="1:76" x14ac:dyDescent="0.2">
      <c r="A12" s="968"/>
      <c r="B12" s="969"/>
      <c r="C12" s="2277"/>
      <c r="D12" s="2272"/>
      <c r="E12" s="924"/>
      <c r="F12" s="1186"/>
      <c r="G12" s="1186"/>
      <c r="H12" s="1186"/>
      <c r="I12" s="2282"/>
      <c r="J12" s="1268"/>
      <c r="K12" s="1268"/>
      <c r="L12" s="1268"/>
      <c r="M12" s="1269"/>
      <c r="N12" s="1268"/>
      <c r="O12" s="1268"/>
      <c r="P12" s="1268"/>
      <c r="Q12" s="1269"/>
      <c r="R12" s="1268"/>
      <c r="S12" s="1268"/>
      <c r="T12" s="1268"/>
      <c r="U12" s="1269"/>
      <c r="V12" s="1268"/>
      <c r="W12" s="1268"/>
      <c r="X12" s="1268"/>
      <c r="Y12" s="1269"/>
      <c r="Z12" s="1270"/>
      <c r="AA12" s="1268"/>
      <c r="AB12" s="1268"/>
      <c r="AC12" s="1269"/>
      <c r="AD12" s="1270"/>
      <c r="AE12" s="1268"/>
      <c r="AF12" s="1268"/>
      <c r="AG12" s="1269"/>
      <c r="AH12" s="1270"/>
      <c r="AI12" s="1268"/>
      <c r="AJ12" s="1268"/>
      <c r="AK12" s="1269"/>
      <c r="AL12" s="1008"/>
      <c r="AM12" s="1008"/>
      <c r="AN12" s="1008"/>
      <c r="AO12" s="1271"/>
      <c r="AP12" s="1008"/>
      <c r="AQ12" s="1008"/>
      <c r="AR12" s="1008"/>
      <c r="AS12" s="1008"/>
      <c r="AT12" s="1014"/>
      <c r="AU12" s="1271"/>
      <c r="AV12" s="1271"/>
      <c r="AW12" s="1271"/>
      <c r="AX12" s="1014"/>
      <c r="AY12" s="1268"/>
      <c r="AZ12" s="1268"/>
      <c r="BA12" s="1263"/>
      <c r="BB12" s="1261"/>
      <c r="BC12" s="1015"/>
      <c r="BD12" s="1270"/>
      <c r="BE12" s="1270"/>
      <c r="BF12" s="1270"/>
      <c r="BG12" s="1270"/>
      <c r="BH12" s="1270"/>
      <c r="BI12" s="1272"/>
      <c r="BJ12" s="1443" t="s">
        <v>241</v>
      </c>
      <c r="BK12" s="1443" t="s">
        <v>241</v>
      </c>
      <c r="BL12" s="1443" t="s">
        <v>241</v>
      </c>
      <c r="BM12" s="1444" t="s">
        <v>241</v>
      </c>
      <c r="BN12" s="1014"/>
      <c r="BO12" s="1014"/>
      <c r="BP12" s="2014"/>
      <c r="BQ12" s="1266"/>
      <c r="BR12" s="1226"/>
      <c r="BS12" s="1226"/>
      <c r="BV12" s="1181"/>
      <c r="BW12" s="1181"/>
      <c r="BX12" s="1181"/>
    </row>
    <row r="13" spans="1:76" ht="12.75" customHeight="1" x14ac:dyDescent="0.2">
      <c r="A13" s="970" t="s">
        <v>61</v>
      </c>
      <c r="B13" s="971"/>
      <c r="C13" s="1230"/>
      <c r="D13" s="1228"/>
      <c r="E13" s="1187"/>
      <c r="F13" s="1188"/>
      <c r="G13" s="1188"/>
      <c r="H13" s="1188"/>
      <c r="I13" s="1183"/>
      <c r="J13" s="1251"/>
      <c r="K13" s="1251"/>
      <c r="L13" s="1251"/>
      <c r="M13" s="1228"/>
      <c r="N13" s="1251"/>
      <c r="O13" s="1251"/>
      <c r="P13" s="1251"/>
      <c r="Q13" s="1228"/>
      <c r="R13" s="1251"/>
      <c r="S13" s="1251"/>
      <c r="T13" s="1251"/>
      <c r="U13" s="1228"/>
      <c r="V13" s="1251"/>
      <c r="W13" s="1251"/>
      <c r="X13" s="1251"/>
      <c r="Y13" s="1228"/>
      <c r="Z13" s="1230"/>
      <c r="AA13" s="1251"/>
      <c r="AB13" s="1251"/>
      <c r="AC13" s="1228"/>
      <c r="AD13" s="1251"/>
      <c r="AE13" s="1251"/>
      <c r="AF13" s="1251"/>
      <c r="AG13" s="1228"/>
      <c r="AH13" s="1251"/>
      <c r="AI13" s="1251"/>
      <c r="AJ13" s="1251"/>
      <c r="AK13" s="1228"/>
      <c r="AL13" s="1251"/>
      <c r="AM13" s="1251"/>
      <c r="AN13" s="1251"/>
      <c r="AO13" s="1228"/>
      <c r="AP13" s="1230"/>
      <c r="AQ13" s="1251"/>
      <c r="AR13" s="1251"/>
      <c r="AS13" s="1226"/>
      <c r="AT13" s="1265"/>
      <c r="AU13" s="2060"/>
      <c r="AV13" s="2060"/>
      <c r="AW13" s="2060"/>
      <c r="AX13" s="1274"/>
      <c r="AY13" s="1251"/>
      <c r="AZ13" s="1251"/>
      <c r="BA13" s="1251"/>
      <c r="BB13" s="1228"/>
      <c r="BC13" s="1251"/>
      <c r="BD13" s="1274"/>
      <c r="BE13" s="1274"/>
      <c r="BF13" s="1274"/>
      <c r="BG13" s="1274"/>
      <c r="BH13" s="1274"/>
      <c r="BI13" s="1274"/>
      <c r="BJ13" s="1274"/>
      <c r="BK13" s="1274"/>
      <c r="BL13" s="1230"/>
      <c r="BM13" s="1274"/>
      <c r="BN13" s="2061"/>
      <c r="BO13" s="2061"/>
      <c r="BP13" s="2062"/>
      <c r="BQ13" s="1266"/>
      <c r="BR13" s="1226"/>
      <c r="BS13" s="1226"/>
      <c r="BV13" s="1181"/>
    </row>
    <row r="14" spans="1:76" ht="12.75" customHeight="1" x14ac:dyDescent="0.2">
      <c r="A14" s="969"/>
      <c r="B14" s="1450" t="s">
        <v>254</v>
      </c>
      <c r="C14" s="979">
        <v>-1120</v>
      </c>
      <c r="D14" s="1056">
        <v>-3.2589402624610818E-2</v>
      </c>
      <c r="E14" s="937"/>
      <c r="F14" s="1195"/>
      <c r="G14" s="1195"/>
      <c r="H14" s="1195"/>
      <c r="I14" s="2287">
        <v>33247</v>
      </c>
      <c r="J14" s="1248">
        <v>34913</v>
      </c>
      <c r="K14" s="1248">
        <v>35040</v>
      </c>
      <c r="L14" s="1248">
        <v>34039</v>
      </c>
      <c r="M14" s="1293">
        <v>34367</v>
      </c>
      <c r="N14" s="1248">
        <v>35672</v>
      </c>
      <c r="O14" s="1248">
        <v>29965</v>
      </c>
      <c r="P14" s="1248">
        <v>29786</v>
      </c>
      <c r="Q14" s="1293">
        <v>30128</v>
      </c>
      <c r="R14" s="1248">
        <v>33220</v>
      </c>
      <c r="S14" s="1248">
        <v>27018</v>
      </c>
      <c r="T14" s="1248">
        <v>25830</v>
      </c>
      <c r="U14" s="1293">
        <v>26978</v>
      </c>
      <c r="V14" s="1248">
        <v>26706</v>
      </c>
      <c r="W14" s="1248">
        <v>24792</v>
      </c>
      <c r="X14" s="1248">
        <v>20672</v>
      </c>
      <c r="Y14" s="1293">
        <v>19587</v>
      </c>
      <c r="Z14" s="1448">
        <v>1987</v>
      </c>
      <c r="AA14" s="2085"/>
      <c r="AB14" s="2085"/>
      <c r="AC14" s="2086"/>
      <c r="AD14" s="2085"/>
      <c r="AE14" s="2085"/>
      <c r="AF14" s="2085"/>
      <c r="AG14" s="2086"/>
      <c r="AH14" s="1248">
        <v>0</v>
      </c>
      <c r="AI14" s="1275"/>
      <c r="AJ14" s="1275"/>
      <c r="AK14" s="1276"/>
      <c r="AL14" s="1275"/>
      <c r="AM14" s="1275"/>
      <c r="AN14" s="1275"/>
      <c r="AO14" s="1276"/>
      <c r="AP14" s="1312"/>
      <c r="AQ14" s="1277"/>
      <c r="AR14" s="1277"/>
      <c r="AS14" s="1281"/>
      <c r="AT14" s="1279"/>
      <c r="AU14" s="1278"/>
      <c r="AV14" s="1278"/>
      <c r="AW14" s="1278"/>
      <c r="AX14" s="1274"/>
      <c r="AY14" s="1280">
        <v>138359</v>
      </c>
      <c r="AZ14" s="1281">
        <v>125551</v>
      </c>
      <c r="BA14" s="1025">
        <v>12808</v>
      </c>
      <c r="BB14" s="1372">
        <v>0.10201432087358922</v>
      </c>
      <c r="BC14" s="1235"/>
      <c r="BD14" s="1935">
        <v>138359</v>
      </c>
      <c r="BE14" s="1935">
        <v>125551</v>
      </c>
      <c r="BF14" s="1935">
        <v>113046</v>
      </c>
      <c r="BG14" s="1447">
        <v>91757</v>
      </c>
      <c r="BH14" s="1447">
        <v>1987</v>
      </c>
      <c r="BI14" s="2087"/>
      <c r="BJ14" s="2087"/>
      <c r="BK14" s="2087"/>
      <c r="BL14" s="2087"/>
      <c r="BM14" s="1447"/>
      <c r="BN14" s="2063"/>
      <c r="BO14" s="2063"/>
      <c r="BP14" s="2063"/>
      <c r="BQ14" s="1251"/>
      <c r="BS14" s="1226"/>
      <c r="BV14" s="1181"/>
    </row>
    <row r="15" spans="1:76" ht="12.75" customHeight="1" x14ac:dyDescent="0.2">
      <c r="A15" s="971"/>
      <c r="B15" s="969"/>
      <c r="C15" s="1231">
        <v>-1120</v>
      </c>
      <c r="D15" s="1232">
        <v>-3.2589402624610818E-2</v>
      </c>
      <c r="E15" s="937"/>
      <c r="F15" s="1194">
        <v>0</v>
      </c>
      <c r="G15" s="1194">
        <v>0</v>
      </c>
      <c r="H15" s="1194">
        <v>0</v>
      </c>
      <c r="I15" s="2286">
        <v>33247</v>
      </c>
      <c r="J15" s="1284">
        <v>34913</v>
      </c>
      <c r="K15" s="1284">
        <v>35040</v>
      </c>
      <c r="L15" s="1284">
        <v>34039</v>
      </c>
      <c r="M15" s="1286">
        <v>34367</v>
      </c>
      <c r="N15" s="1284">
        <v>35672</v>
      </c>
      <c r="O15" s="1284">
        <v>29965</v>
      </c>
      <c r="P15" s="1284">
        <v>29786</v>
      </c>
      <c r="Q15" s="1286">
        <v>30128</v>
      </c>
      <c r="R15" s="1284">
        <v>33220</v>
      </c>
      <c r="S15" s="1284">
        <v>27018</v>
      </c>
      <c r="T15" s="1284">
        <v>25830</v>
      </c>
      <c r="U15" s="1286">
        <v>26978</v>
      </c>
      <c r="V15" s="1284">
        <v>26706</v>
      </c>
      <c r="W15" s="1284">
        <v>24792</v>
      </c>
      <c r="X15" s="1284">
        <v>20672</v>
      </c>
      <c r="Y15" s="1286">
        <v>19587</v>
      </c>
      <c r="Z15" s="2064">
        <v>1987</v>
      </c>
      <c r="AA15" s="2088"/>
      <c r="AB15" s="2088"/>
      <c r="AC15" s="2089"/>
      <c r="AD15" s="2090"/>
      <c r="AE15" s="2091"/>
      <c r="AF15" s="2091"/>
      <c r="AG15" s="2091"/>
      <c r="AH15" s="1284">
        <v>54990</v>
      </c>
      <c r="AI15" s="1284">
        <v>51733</v>
      </c>
      <c r="AJ15" s="1284">
        <v>40138</v>
      </c>
      <c r="AK15" s="1286">
        <v>40185</v>
      </c>
      <c r="AL15" s="1284">
        <v>37255</v>
      </c>
      <c r="AM15" s="1284">
        <v>33532</v>
      </c>
      <c r="AN15" s="1284">
        <v>43844</v>
      </c>
      <c r="AO15" s="1286">
        <v>57853</v>
      </c>
      <c r="AP15" s="1455">
        <v>54463</v>
      </c>
      <c r="AQ15" s="1315">
        <v>61166</v>
      </c>
      <c r="AR15" s="1315">
        <v>57415</v>
      </c>
      <c r="AS15" s="1315">
        <v>76083</v>
      </c>
      <c r="AT15" s="1291">
        <v>75876</v>
      </c>
      <c r="AU15" s="1286">
        <v>68831</v>
      </c>
      <c r="AV15" s="1286">
        <v>55626</v>
      </c>
      <c r="AW15" s="1286">
        <v>72286</v>
      </c>
      <c r="AX15" s="1274"/>
      <c r="AY15" s="1284">
        <v>138359</v>
      </c>
      <c r="AZ15" s="2065">
        <v>125551</v>
      </c>
      <c r="BA15" s="1284">
        <v>12808</v>
      </c>
      <c r="BB15" s="1232">
        <v>0.10201432087358922</v>
      </c>
      <c r="BC15" s="1235"/>
      <c r="BD15" s="1457">
        <v>138359</v>
      </c>
      <c r="BE15" s="1457">
        <v>125551</v>
      </c>
      <c r="BF15" s="1457">
        <v>113046</v>
      </c>
      <c r="BG15" s="1457">
        <v>91757</v>
      </c>
      <c r="BH15" s="1457">
        <v>1987</v>
      </c>
      <c r="BI15" s="2092"/>
      <c r="BJ15" s="2092"/>
      <c r="BK15" s="2092"/>
      <c r="BL15" s="2092"/>
      <c r="BM15" s="1457">
        <v>272619</v>
      </c>
      <c r="BN15" s="2066">
        <v>225194</v>
      </c>
      <c r="BO15" s="2066">
        <v>178176</v>
      </c>
      <c r="BP15" s="2066">
        <v>175983</v>
      </c>
      <c r="BQ15" s="1251"/>
      <c r="BS15" s="1226"/>
      <c r="BV15" s="1181"/>
    </row>
    <row r="16" spans="1:76" ht="12.75" customHeight="1" x14ac:dyDescent="0.2">
      <c r="A16" s="970" t="s">
        <v>5</v>
      </c>
      <c r="B16" s="969"/>
      <c r="C16" s="979"/>
      <c r="D16" s="1056"/>
      <c r="E16" s="937"/>
      <c r="F16" s="1190"/>
      <c r="G16" s="1190"/>
      <c r="H16" s="1190"/>
      <c r="I16" s="2283"/>
      <c r="J16" s="1275"/>
      <c r="K16" s="1275"/>
      <c r="L16" s="1275"/>
      <c r="M16" s="1276"/>
      <c r="N16" s="1275"/>
      <c r="O16" s="1275"/>
      <c r="P16" s="1275"/>
      <c r="Q16" s="1276"/>
      <c r="R16" s="1275"/>
      <c r="S16" s="1275"/>
      <c r="T16" s="1275"/>
      <c r="U16" s="1276"/>
      <c r="V16" s="1275"/>
      <c r="W16" s="1275"/>
      <c r="X16" s="1275"/>
      <c r="Y16" s="1276"/>
      <c r="Z16" s="1448"/>
      <c r="AA16" s="2093"/>
      <c r="AB16" s="2093"/>
      <c r="AC16" s="2094"/>
      <c r="AD16" s="2093"/>
      <c r="AE16" s="2093"/>
      <c r="AF16" s="2093"/>
      <c r="AG16" s="2094"/>
      <c r="AH16" s="1275"/>
      <c r="AI16" s="1275"/>
      <c r="AJ16" s="1275"/>
      <c r="AK16" s="1276"/>
      <c r="AL16" s="1275"/>
      <c r="AM16" s="1275"/>
      <c r="AN16" s="1275"/>
      <c r="AO16" s="1276"/>
      <c r="AP16" s="1238"/>
      <c r="AQ16" s="1323"/>
      <c r="AR16" s="1323"/>
      <c r="AS16" s="1323"/>
      <c r="AT16" s="1282"/>
      <c r="AU16" s="1276"/>
      <c r="AV16" s="1276"/>
      <c r="AW16" s="1276"/>
      <c r="AX16" s="1274"/>
      <c r="AY16" s="1280"/>
      <c r="AZ16" s="1281"/>
      <c r="BA16" s="1025"/>
      <c r="BB16" s="1056"/>
      <c r="BC16" s="1235"/>
      <c r="BD16" s="1509"/>
      <c r="BE16" s="1509"/>
      <c r="BF16" s="1509"/>
      <c r="BG16" s="1509"/>
      <c r="BH16" s="1509"/>
      <c r="BI16" s="2095"/>
      <c r="BJ16" s="2095"/>
      <c r="BK16" s="2095"/>
      <c r="BL16" s="2087"/>
      <c r="BM16" s="1447"/>
      <c r="BN16" s="2063"/>
      <c r="BO16" s="2063"/>
      <c r="BP16" s="2063"/>
      <c r="BQ16" s="1251"/>
      <c r="BS16" s="1226"/>
      <c r="BV16" s="1181"/>
    </row>
    <row r="17" spans="1:74" ht="12.75" customHeight="1" x14ac:dyDescent="0.2">
      <c r="A17" s="970"/>
      <c r="B17" s="969" t="s">
        <v>304</v>
      </c>
      <c r="C17" s="979">
        <v>189</v>
      </c>
      <c r="D17" s="1056">
        <v>1.5742128935532233E-2</v>
      </c>
      <c r="E17" s="937"/>
      <c r="F17" s="1190"/>
      <c r="G17" s="1190"/>
      <c r="H17" s="1190"/>
      <c r="I17" s="2283">
        <v>12195</v>
      </c>
      <c r="J17" s="1275">
        <v>13021</v>
      </c>
      <c r="K17" s="1275">
        <v>12009</v>
      </c>
      <c r="L17" s="1275">
        <v>11536</v>
      </c>
      <c r="M17" s="1276">
        <v>12006</v>
      </c>
      <c r="N17" s="1275">
        <v>12797</v>
      </c>
      <c r="O17" s="1275">
        <v>10473</v>
      </c>
      <c r="P17" s="1275">
        <v>10397</v>
      </c>
      <c r="Q17" s="1276">
        <v>10506</v>
      </c>
      <c r="R17" s="1275">
        <v>11009</v>
      </c>
      <c r="S17" s="1275">
        <v>9317</v>
      </c>
      <c r="T17" s="1275">
        <v>8787</v>
      </c>
      <c r="U17" s="1276">
        <v>9406</v>
      </c>
      <c r="V17" s="1275">
        <v>9197</v>
      </c>
      <c r="W17" s="1275">
        <v>9305</v>
      </c>
      <c r="X17" s="1275">
        <v>7682</v>
      </c>
      <c r="Y17" s="1276">
        <v>7353</v>
      </c>
      <c r="Z17" s="1448">
        <v>683</v>
      </c>
      <c r="AA17" s="2093"/>
      <c r="AB17" s="2093"/>
      <c r="AC17" s="2094"/>
      <c r="AD17" s="2093"/>
      <c r="AE17" s="2093"/>
      <c r="AF17" s="2093"/>
      <c r="AG17" s="2096"/>
      <c r="AH17" s="1275"/>
      <c r="AI17" s="1275"/>
      <c r="AJ17" s="1275"/>
      <c r="AK17" s="1276"/>
      <c r="AL17" s="1275"/>
      <c r="AM17" s="1275"/>
      <c r="AN17" s="1275"/>
      <c r="AO17" s="1276"/>
      <c r="AP17" s="1238"/>
      <c r="AQ17" s="1323"/>
      <c r="AR17" s="1323"/>
      <c r="AS17" s="1323"/>
      <c r="AT17" s="1282"/>
      <c r="AU17" s="1276"/>
      <c r="AV17" s="1276"/>
      <c r="AW17" s="1276"/>
      <c r="AX17" s="1274"/>
      <c r="AY17" s="1280">
        <v>48572</v>
      </c>
      <c r="AZ17" s="1281">
        <v>44173</v>
      </c>
      <c r="BA17" s="1025">
        <v>4399</v>
      </c>
      <c r="BB17" s="1056">
        <v>9.9585719783578205E-2</v>
      </c>
      <c r="BC17" s="1235"/>
      <c r="BD17" s="1935">
        <v>48572</v>
      </c>
      <c r="BE17" s="1935">
        <v>44173</v>
      </c>
      <c r="BF17" s="1935">
        <v>38519</v>
      </c>
      <c r="BG17" s="1447">
        <v>33537</v>
      </c>
      <c r="BH17" s="1447">
        <v>683</v>
      </c>
      <c r="BI17" s="2095"/>
      <c r="BJ17" s="2095"/>
      <c r="BK17" s="2095"/>
      <c r="BL17" s="2087"/>
      <c r="BM17" s="1447"/>
      <c r="BN17" s="2063"/>
      <c r="BO17" s="2063"/>
      <c r="BP17" s="2063"/>
      <c r="BQ17" s="1251"/>
      <c r="BS17" s="1226"/>
      <c r="BV17" s="1181"/>
    </row>
    <row r="18" spans="1:74" ht="12.75" customHeight="1" x14ac:dyDescent="0.2">
      <c r="A18" s="970"/>
      <c r="B18" s="969" t="s">
        <v>305</v>
      </c>
      <c r="C18" s="1233">
        <v>18</v>
      </c>
      <c r="D18" s="1234">
        <v>0.05</v>
      </c>
      <c r="E18" s="937"/>
      <c r="F18" s="1197"/>
      <c r="G18" s="1197"/>
      <c r="H18" s="1197"/>
      <c r="I18" s="2392">
        <v>378</v>
      </c>
      <c r="J18" s="1298">
        <v>400</v>
      </c>
      <c r="K18" s="1298">
        <v>415</v>
      </c>
      <c r="L18" s="1298">
        <v>399</v>
      </c>
      <c r="M18" s="1299">
        <v>360</v>
      </c>
      <c r="N18" s="1298">
        <v>362</v>
      </c>
      <c r="O18" s="1298">
        <v>289</v>
      </c>
      <c r="P18" s="1298">
        <v>274</v>
      </c>
      <c r="Q18" s="1299">
        <v>309</v>
      </c>
      <c r="R18" s="1298">
        <v>393</v>
      </c>
      <c r="S18" s="1298">
        <v>301</v>
      </c>
      <c r="T18" s="1298">
        <v>345</v>
      </c>
      <c r="U18" s="1299">
        <v>581</v>
      </c>
      <c r="V18" s="1298">
        <v>73</v>
      </c>
      <c r="W18" s="1298">
        <v>374</v>
      </c>
      <c r="X18" s="1298">
        <v>409</v>
      </c>
      <c r="Y18" s="1299">
        <v>387</v>
      </c>
      <c r="Z18" s="1454">
        <v>284</v>
      </c>
      <c r="AA18" s="2097"/>
      <c r="AB18" s="2097"/>
      <c r="AC18" s="2098"/>
      <c r="AD18" s="2097"/>
      <c r="AE18" s="2097"/>
      <c r="AF18" s="2097"/>
      <c r="AG18" s="2096"/>
      <c r="AH18" s="1275"/>
      <c r="AI18" s="1275"/>
      <c r="AJ18" s="1275"/>
      <c r="AK18" s="1276"/>
      <c r="AL18" s="1275"/>
      <c r="AM18" s="1275"/>
      <c r="AN18" s="1275"/>
      <c r="AO18" s="1276"/>
      <c r="AP18" s="1238"/>
      <c r="AQ18" s="1323"/>
      <c r="AR18" s="1323"/>
      <c r="AS18" s="1323"/>
      <c r="AT18" s="1282"/>
      <c r="AU18" s="1276"/>
      <c r="AV18" s="1276"/>
      <c r="AW18" s="1276"/>
      <c r="AX18" s="1274"/>
      <c r="AY18" s="1303">
        <v>1574</v>
      </c>
      <c r="AZ18" s="1304">
        <v>1234</v>
      </c>
      <c r="BA18" s="1375">
        <v>340</v>
      </c>
      <c r="BB18" s="1234">
        <v>0.27552674230145868</v>
      </c>
      <c r="BC18" s="1235"/>
      <c r="BD18" s="2067">
        <v>1574</v>
      </c>
      <c r="BE18" s="2067">
        <v>1234</v>
      </c>
      <c r="BF18" s="2067">
        <v>1620</v>
      </c>
      <c r="BG18" s="1451">
        <v>1243</v>
      </c>
      <c r="BH18" s="1451">
        <v>284</v>
      </c>
      <c r="BI18" s="2099"/>
      <c r="BJ18" s="2099"/>
      <c r="BK18" s="2099"/>
      <c r="BL18" s="2100"/>
      <c r="BM18" s="1447"/>
      <c r="BN18" s="2063"/>
      <c r="BO18" s="2063"/>
      <c r="BP18" s="2063"/>
      <c r="BQ18" s="1251"/>
      <c r="BS18" s="1226"/>
      <c r="BV18" s="1181"/>
    </row>
    <row r="19" spans="1:74" ht="12.75" customHeight="1" x14ac:dyDescent="0.2">
      <c r="A19" s="971"/>
      <c r="B19" s="1235" t="s">
        <v>208</v>
      </c>
      <c r="C19" s="979">
        <v>207</v>
      </c>
      <c r="D19" s="1056">
        <v>1.6739446870451237E-2</v>
      </c>
      <c r="E19" s="937"/>
      <c r="F19" s="1190">
        <v>0</v>
      </c>
      <c r="G19" s="1190">
        <v>0</v>
      </c>
      <c r="H19" s="1190">
        <v>0</v>
      </c>
      <c r="I19" s="2283">
        <v>12573</v>
      </c>
      <c r="J19" s="1275">
        <v>13421</v>
      </c>
      <c r="K19" s="1275">
        <v>12424</v>
      </c>
      <c r="L19" s="1275">
        <v>11935</v>
      </c>
      <c r="M19" s="1276">
        <v>12366</v>
      </c>
      <c r="N19" s="1275">
        <v>13159</v>
      </c>
      <c r="O19" s="1275">
        <v>10762</v>
      </c>
      <c r="P19" s="1275">
        <v>10671</v>
      </c>
      <c r="Q19" s="1276">
        <v>10815</v>
      </c>
      <c r="R19" s="1275">
        <v>11402</v>
      </c>
      <c r="S19" s="1275">
        <v>9618</v>
      </c>
      <c r="T19" s="1275">
        <v>9132</v>
      </c>
      <c r="U19" s="1276">
        <v>9987</v>
      </c>
      <c r="V19" s="1275">
        <v>9270</v>
      </c>
      <c r="W19" s="1275">
        <v>9679</v>
      </c>
      <c r="X19" s="1275">
        <v>8091</v>
      </c>
      <c r="Y19" s="1276">
        <v>7740</v>
      </c>
      <c r="Z19" s="1448">
        <v>967</v>
      </c>
      <c r="AA19" s="2085"/>
      <c r="AB19" s="2085"/>
      <c r="AC19" s="2101"/>
      <c r="AD19" s="2085"/>
      <c r="AE19" s="2085"/>
      <c r="AF19" s="2085"/>
      <c r="AG19" s="2085"/>
      <c r="AH19" s="1275">
        <v>26203</v>
      </c>
      <c r="AI19" s="1275">
        <v>24376</v>
      </c>
      <c r="AJ19" s="1275">
        <v>19368</v>
      </c>
      <c r="AK19" s="1276">
        <v>18643</v>
      </c>
      <c r="AL19" s="1275">
        <v>13122</v>
      </c>
      <c r="AM19" s="1275">
        <v>14195</v>
      </c>
      <c r="AN19" s="1275">
        <v>20116</v>
      </c>
      <c r="AO19" s="1276">
        <v>26950</v>
      </c>
      <c r="AP19" s="1238">
        <v>24166</v>
      </c>
      <c r="AQ19" s="1323">
        <v>28443</v>
      </c>
      <c r="AR19" s="1323">
        <v>25351</v>
      </c>
      <c r="AS19" s="1323">
        <v>37680</v>
      </c>
      <c r="AT19" s="1282">
        <v>36567</v>
      </c>
      <c r="AU19" s="1276">
        <v>31848</v>
      </c>
      <c r="AV19" s="1276">
        <v>24885</v>
      </c>
      <c r="AW19" s="1276">
        <v>33368</v>
      </c>
      <c r="AX19" s="1274"/>
      <c r="AY19" s="1280">
        <v>50146</v>
      </c>
      <c r="AZ19" s="1280">
        <v>45407</v>
      </c>
      <c r="BA19" s="1025">
        <v>4739</v>
      </c>
      <c r="BB19" s="1056">
        <v>0.10436716805778845</v>
      </c>
      <c r="BC19" s="1235"/>
      <c r="BD19" s="1447">
        <v>50146</v>
      </c>
      <c r="BE19" s="1447">
        <v>45407</v>
      </c>
      <c r="BF19" s="1447">
        <v>40139</v>
      </c>
      <c r="BG19" s="1447">
        <v>34780</v>
      </c>
      <c r="BH19" s="1447">
        <v>967</v>
      </c>
      <c r="BI19" s="2087"/>
      <c r="BJ19" s="2087"/>
      <c r="BK19" s="2087"/>
      <c r="BL19" s="2087"/>
      <c r="BM19" s="1447">
        <v>126668</v>
      </c>
      <c r="BN19" s="2063">
        <v>105283</v>
      </c>
      <c r="BO19" s="2063">
        <v>84396</v>
      </c>
      <c r="BP19" s="2063">
        <v>82758</v>
      </c>
      <c r="BQ19" s="1251"/>
      <c r="BS19" s="1226"/>
      <c r="BV19" s="1181"/>
    </row>
    <row r="20" spans="1:74" ht="12.75" customHeight="1" x14ac:dyDescent="0.2">
      <c r="A20" s="971"/>
      <c r="B20" s="1450" t="s">
        <v>66</v>
      </c>
      <c r="C20" s="979">
        <v>-61</v>
      </c>
      <c r="D20" s="1056">
        <v>-1.100685673042223E-2</v>
      </c>
      <c r="E20" s="937"/>
      <c r="F20" s="1190"/>
      <c r="G20" s="1190"/>
      <c r="H20" s="1190"/>
      <c r="I20" s="2283">
        <v>5481</v>
      </c>
      <c r="J20" s="1275">
        <v>5901</v>
      </c>
      <c r="K20" s="1275">
        <v>5988</v>
      </c>
      <c r="L20" s="1275">
        <v>6023</v>
      </c>
      <c r="M20" s="1276">
        <v>5542</v>
      </c>
      <c r="N20" s="1275">
        <v>4680</v>
      </c>
      <c r="O20" s="1275">
        <v>4725</v>
      </c>
      <c r="P20" s="1275">
        <v>4567</v>
      </c>
      <c r="Q20" s="1276">
        <v>4601</v>
      </c>
      <c r="R20" s="1275">
        <v>4614</v>
      </c>
      <c r="S20" s="1275">
        <v>3477</v>
      </c>
      <c r="T20" s="1275">
        <v>3559</v>
      </c>
      <c r="U20" s="1276">
        <v>3006</v>
      </c>
      <c r="V20" s="1275">
        <v>2306</v>
      </c>
      <c r="W20" s="1275">
        <v>2596</v>
      </c>
      <c r="X20" s="1275">
        <v>2281</v>
      </c>
      <c r="Y20" s="1276">
        <v>2552</v>
      </c>
      <c r="Z20" s="1448">
        <v>178</v>
      </c>
      <c r="AA20" s="2085"/>
      <c r="AB20" s="2085"/>
      <c r="AC20" s="2101"/>
      <c r="AD20" s="2085"/>
      <c r="AE20" s="2085"/>
      <c r="AF20" s="2085"/>
      <c r="AG20" s="2085"/>
      <c r="AH20" s="1275">
        <v>5573</v>
      </c>
      <c r="AI20" s="1275">
        <v>4015</v>
      </c>
      <c r="AJ20" s="1275">
        <v>4360</v>
      </c>
      <c r="AK20" s="1276">
        <v>4246</v>
      </c>
      <c r="AL20" s="1275">
        <v>4505</v>
      </c>
      <c r="AM20" s="1275">
        <v>3057</v>
      </c>
      <c r="AN20" s="1275">
        <v>3477</v>
      </c>
      <c r="AO20" s="1276">
        <v>3781</v>
      </c>
      <c r="AP20" s="1238">
        <v>4683</v>
      </c>
      <c r="AQ20" s="1323">
        <v>3272</v>
      </c>
      <c r="AR20" s="1323">
        <v>3510</v>
      </c>
      <c r="AS20" s="1323">
        <v>4049</v>
      </c>
      <c r="AT20" s="1282">
        <v>4303</v>
      </c>
      <c r="AU20" s="1276">
        <v>3039</v>
      </c>
      <c r="AV20" s="1276">
        <v>2854</v>
      </c>
      <c r="AW20" s="1276">
        <v>3430</v>
      </c>
      <c r="AX20" s="1274"/>
      <c r="AY20" s="1280">
        <v>23454</v>
      </c>
      <c r="AZ20" s="1281">
        <v>18573</v>
      </c>
      <c r="BA20" s="1025">
        <v>4881</v>
      </c>
      <c r="BB20" s="1056">
        <v>0.26280083992892911</v>
      </c>
      <c r="BC20" s="1235"/>
      <c r="BD20" s="1935">
        <v>23454</v>
      </c>
      <c r="BE20" s="1935">
        <v>18573</v>
      </c>
      <c r="BF20" s="1935">
        <v>14656</v>
      </c>
      <c r="BG20" s="1447">
        <v>9735</v>
      </c>
      <c r="BH20" s="1447">
        <v>178</v>
      </c>
      <c r="BI20" s="2087"/>
      <c r="BJ20" s="2087"/>
      <c r="BK20" s="2087"/>
      <c r="BL20" s="2087"/>
      <c r="BM20" s="1447">
        <v>13626</v>
      </c>
      <c r="BN20" s="2063">
        <v>13053</v>
      </c>
      <c r="BO20" s="2063">
        <v>11158</v>
      </c>
      <c r="BP20" s="2063">
        <v>10157</v>
      </c>
      <c r="BQ20" s="1251"/>
      <c r="BS20" s="1226"/>
      <c r="BV20" s="1181"/>
    </row>
    <row r="21" spans="1:74" ht="12.75" customHeight="1" x14ac:dyDescent="0.2">
      <c r="A21" s="971"/>
      <c r="B21" s="1450" t="s">
        <v>67</v>
      </c>
      <c r="C21" s="979">
        <v>371</v>
      </c>
      <c r="D21" s="1056">
        <v>0.31228956228956228</v>
      </c>
      <c r="E21" s="937"/>
      <c r="F21" s="1190"/>
      <c r="G21" s="1190"/>
      <c r="H21" s="1190"/>
      <c r="I21" s="2283">
        <v>1559</v>
      </c>
      <c r="J21" s="1275">
        <v>1428</v>
      </c>
      <c r="K21" s="1275">
        <v>1245</v>
      </c>
      <c r="L21" s="1275">
        <v>1372</v>
      </c>
      <c r="M21" s="1276">
        <v>1188</v>
      </c>
      <c r="N21" s="1275">
        <v>1107</v>
      </c>
      <c r="O21" s="1275">
        <v>1024</v>
      </c>
      <c r="P21" s="1275">
        <v>1098</v>
      </c>
      <c r="Q21" s="1276">
        <v>976</v>
      </c>
      <c r="R21" s="1275">
        <v>1113</v>
      </c>
      <c r="S21" s="1275">
        <v>949</v>
      </c>
      <c r="T21" s="1275">
        <v>813</v>
      </c>
      <c r="U21" s="1276">
        <v>1007</v>
      </c>
      <c r="V21" s="1275">
        <v>1284</v>
      </c>
      <c r="W21" s="1275">
        <v>1292</v>
      </c>
      <c r="X21" s="1275">
        <v>958</v>
      </c>
      <c r="Y21" s="1276">
        <v>823</v>
      </c>
      <c r="Z21" s="1448">
        <v>87</v>
      </c>
      <c r="AA21" s="2085"/>
      <c r="AB21" s="2085"/>
      <c r="AC21" s="2101"/>
      <c r="AD21" s="2085"/>
      <c r="AE21" s="2085"/>
      <c r="AF21" s="2085"/>
      <c r="AG21" s="2085"/>
      <c r="AH21" s="1275">
        <v>2320</v>
      </c>
      <c r="AI21" s="1275">
        <v>1910</v>
      </c>
      <c r="AJ21" s="1275">
        <v>2120</v>
      </c>
      <c r="AK21" s="1276">
        <v>2156</v>
      </c>
      <c r="AL21" s="1275">
        <v>1697</v>
      </c>
      <c r="AM21" s="1275">
        <v>1856</v>
      </c>
      <c r="AN21" s="1275">
        <v>1606</v>
      </c>
      <c r="AO21" s="1276">
        <v>1849</v>
      </c>
      <c r="AP21" s="1238">
        <v>1694</v>
      </c>
      <c r="AQ21" s="1323">
        <v>2331</v>
      </c>
      <c r="AR21" s="1323">
        <v>2158</v>
      </c>
      <c r="AS21" s="1323">
        <v>2399</v>
      </c>
      <c r="AT21" s="1282">
        <v>2477</v>
      </c>
      <c r="AU21" s="1276">
        <v>2338</v>
      </c>
      <c r="AV21" s="1276">
        <v>2276</v>
      </c>
      <c r="AW21" s="1276">
        <v>3066</v>
      </c>
      <c r="AX21" s="1274"/>
      <c r="AY21" s="1280">
        <v>5233</v>
      </c>
      <c r="AZ21" s="1281">
        <v>4205</v>
      </c>
      <c r="BA21" s="1025">
        <v>1028</v>
      </c>
      <c r="BB21" s="1056">
        <v>0.24447086801426873</v>
      </c>
      <c r="BC21" s="1235"/>
      <c r="BD21" s="1935">
        <v>5233</v>
      </c>
      <c r="BE21" s="1935">
        <v>4205</v>
      </c>
      <c r="BF21" s="1935">
        <v>3882</v>
      </c>
      <c r="BG21" s="1447">
        <v>4357</v>
      </c>
      <c r="BH21" s="1447">
        <v>87</v>
      </c>
      <c r="BI21" s="2087"/>
      <c r="BJ21" s="2087"/>
      <c r="BK21" s="2087"/>
      <c r="BL21" s="2087"/>
      <c r="BM21" s="1447">
        <v>10157</v>
      </c>
      <c r="BN21" s="2063">
        <v>9013</v>
      </c>
      <c r="BO21" s="2063">
        <v>8802</v>
      </c>
      <c r="BP21" s="2063">
        <v>1308</v>
      </c>
      <c r="BQ21" s="1251"/>
      <c r="BS21" s="1226"/>
      <c r="BV21" s="1181"/>
    </row>
    <row r="22" spans="1:74" ht="12.75" customHeight="1" x14ac:dyDescent="0.2">
      <c r="A22" s="971"/>
      <c r="B22" s="1450" t="s">
        <v>68</v>
      </c>
      <c r="C22" s="979">
        <v>125</v>
      </c>
      <c r="D22" s="1056">
        <v>0.10602205258693809</v>
      </c>
      <c r="E22" s="937"/>
      <c r="F22" s="1190"/>
      <c r="G22" s="1190"/>
      <c r="H22" s="1190"/>
      <c r="I22" s="2283">
        <v>1304</v>
      </c>
      <c r="J22" s="1275">
        <v>1384</v>
      </c>
      <c r="K22" s="1275">
        <v>1336</v>
      </c>
      <c r="L22" s="1275">
        <v>1045</v>
      </c>
      <c r="M22" s="1276">
        <v>1179</v>
      </c>
      <c r="N22" s="1275">
        <v>1757</v>
      </c>
      <c r="O22" s="1275">
        <v>1324</v>
      </c>
      <c r="P22" s="1275">
        <v>1321</v>
      </c>
      <c r="Q22" s="1276">
        <v>1336</v>
      </c>
      <c r="R22" s="1275">
        <v>1255</v>
      </c>
      <c r="S22" s="1275">
        <v>878</v>
      </c>
      <c r="T22" s="1275">
        <v>830</v>
      </c>
      <c r="U22" s="1276">
        <v>837</v>
      </c>
      <c r="V22" s="1275">
        <v>591</v>
      </c>
      <c r="W22" s="1275">
        <v>550</v>
      </c>
      <c r="X22" s="1275">
        <v>749</v>
      </c>
      <c r="Y22" s="1276">
        <v>848</v>
      </c>
      <c r="Z22" s="1448">
        <v>42</v>
      </c>
      <c r="AA22" s="2085"/>
      <c r="AB22" s="2085"/>
      <c r="AC22" s="2101"/>
      <c r="AD22" s="2085"/>
      <c r="AE22" s="2085"/>
      <c r="AF22" s="2085"/>
      <c r="AG22" s="2085"/>
      <c r="AH22" s="1275">
        <v>2016</v>
      </c>
      <c r="AI22" s="1275">
        <v>2074</v>
      </c>
      <c r="AJ22" s="1275">
        <v>2075</v>
      </c>
      <c r="AK22" s="1276">
        <v>1951</v>
      </c>
      <c r="AL22" s="1275">
        <v>1822</v>
      </c>
      <c r="AM22" s="1275">
        <v>1632</v>
      </c>
      <c r="AN22" s="1275">
        <v>1702</v>
      </c>
      <c r="AO22" s="1276">
        <v>1632</v>
      </c>
      <c r="AP22" s="1238">
        <v>1630</v>
      </c>
      <c r="AQ22" s="1323">
        <v>1605</v>
      </c>
      <c r="AR22" s="1323">
        <v>1605</v>
      </c>
      <c r="AS22" s="1323">
        <v>1535</v>
      </c>
      <c r="AT22" s="1282">
        <v>1555</v>
      </c>
      <c r="AU22" s="1276">
        <v>1528</v>
      </c>
      <c r="AV22" s="1276">
        <v>1534</v>
      </c>
      <c r="AW22" s="1276">
        <v>1536</v>
      </c>
      <c r="AX22" s="1274"/>
      <c r="AY22" s="1280">
        <v>4944</v>
      </c>
      <c r="AZ22" s="1281">
        <v>5738</v>
      </c>
      <c r="BA22" s="1025">
        <v>-794</v>
      </c>
      <c r="BB22" s="1056">
        <v>-0.13837574067619379</v>
      </c>
      <c r="BC22" s="1235"/>
      <c r="BD22" s="1935">
        <v>4944</v>
      </c>
      <c r="BE22" s="1935">
        <v>5738</v>
      </c>
      <c r="BF22" s="1935">
        <v>3800</v>
      </c>
      <c r="BG22" s="1447">
        <v>2738</v>
      </c>
      <c r="BH22" s="1447">
        <v>42</v>
      </c>
      <c r="BI22" s="2087"/>
      <c r="BJ22" s="2087"/>
      <c r="BK22" s="2087"/>
      <c r="BL22" s="2087"/>
      <c r="BM22" s="1447">
        <v>6153</v>
      </c>
      <c r="BN22" s="2063">
        <v>5464</v>
      </c>
      <c r="BO22" s="2063">
        <v>4653</v>
      </c>
      <c r="BP22" s="2063">
        <v>4742</v>
      </c>
      <c r="BQ22" s="1251"/>
      <c r="BS22" s="1226"/>
      <c r="BV22" s="1181"/>
    </row>
    <row r="23" spans="1:74" ht="12.75" customHeight="1" x14ac:dyDescent="0.2">
      <c r="A23" s="971"/>
      <c r="B23" s="1450" t="s">
        <v>69</v>
      </c>
      <c r="C23" s="979">
        <v>-536</v>
      </c>
      <c r="D23" s="1056">
        <v>-0.23917893797411871</v>
      </c>
      <c r="E23" s="937"/>
      <c r="F23" s="1190"/>
      <c r="G23" s="1190"/>
      <c r="H23" s="1190"/>
      <c r="I23" s="2283">
        <v>1705</v>
      </c>
      <c r="J23" s="1275">
        <v>2108</v>
      </c>
      <c r="K23" s="1275">
        <v>2114</v>
      </c>
      <c r="L23" s="1275">
        <v>2111</v>
      </c>
      <c r="M23" s="1276">
        <v>2241</v>
      </c>
      <c r="N23" s="1275">
        <v>1938</v>
      </c>
      <c r="O23" s="1275">
        <v>1772</v>
      </c>
      <c r="P23" s="1275">
        <v>1850</v>
      </c>
      <c r="Q23" s="1276">
        <v>1680</v>
      </c>
      <c r="R23" s="1275">
        <v>1710</v>
      </c>
      <c r="S23" s="1275">
        <v>1796</v>
      </c>
      <c r="T23" s="1275">
        <v>1706</v>
      </c>
      <c r="U23" s="1276">
        <v>1470</v>
      </c>
      <c r="V23" s="1275">
        <v>1659</v>
      </c>
      <c r="W23" s="1275">
        <v>1426</v>
      </c>
      <c r="X23" s="1275">
        <v>1229</v>
      </c>
      <c r="Y23" s="1276">
        <v>1455</v>
      </c>
      <c r="Z23" s="1448">
        <v>117</v>
      </c>
      <c r="AA23" s="2085"/>
      <c r="AB23" s="2085"/>
      <c r="AC23" s="2101"/>
      <c r="AD23" s="2085"/>
      <c r="AE23" s="2085"/>
      <c r="AF23" s="2085"/>
      <c r="AG23" s="2085"/>
      <c r="AH23" s="1275">
        <v>1426</v>
      </c>
      <c r="AI23" s="1275">
        <v>1660</v>
      </c>
      <c r="AJ23" s="1275">
        <v>1494</v>
      </c>
      <c r="AK23" s="1276">
        <v>1536</v>
      </c>
      <c r="AL23" s="1275">
        <v>1630</v>
      </c>
      <c r="AM23" s="1275">
        <v>1590</v>
      </c>
      <c r="AN23" s="1275">
        <v>1556</v>
      </c>
      <c r="AO23" s="1276">
        <v>1639</v>
      </c>
      <c r="AP23" s="1238">
        <v>1596</v>
      </c>
      <c r="AQ23" s="1323">
        <v>1544</v>
      </c>
      <c r="AR23" s="1323">
        <v>1573</v>
      </c>
      <c r="AS23" s="1323">
        <v>1670</v>
      </c>
      <c r="AT23" s="1282">
        <v>1639</v>
      </c>
      <c r="AU23" s="1276">
        <v>1526</v>
      </c>
      <c r="AV23" s="1276">
        <v>1571</v>
      </c>
      <c r="AW23" s="1276">
        <v>1602</v>
      </c>
      <c r="AX23" s="1274"/>
      <c r="AY23" s="1280">
        <v>8574</v>
      </c>
      <c r="AZ23" s="1281">
        <v>7240</v>
      </c>
      <c r="BA23" s="1025">
        <v>1334</v>
      </c>
      <c r="BB23" s="1056">
        <v>0.18425414364640885</v>
      </c>
      <c r="BC23" s="1235"/>
      <c r="BD23" s="1935">
        <v>8574</v>
      </c>
      <c r="BE23" s="1935">
        <v>7240</v>
      </c>
      <c r="BF23" s="1935">
        <v>6682</v>
      </c>
      <c r="BG23" s="1447">
        <v>5769</v>
      </c>
      <c r="BH23" s="1447">
        <v>117</v>
      </c>
      <c r="BI23" s="2087"/>
      <c r="BJ23" s="2087"/>
      <c r="BK23" s="2087"/>
      <c r="BL23" s="2087"/>
      <c r="BM23" s="1447">
        <v>6338</v>
      </c>
      <c r="BN23" s="2063">
        <v>6066</v>
      </c>
      <c r="BO23" s="2063">
        <v>5819</v>
      </c>
      <c r="BP23" s="2063">
        <v>5491</v>
      </c>
      <c r="BQ23" s="1251"/>
      <c r="BS23" s="1226"/>
      <c r="BV23" s="1181"/>
    </row>
    <row r="24" spans="1:74" ht="12.75" customHeight="1" x14ac:dyDescent="0.2">
      <c r="A24" s="971"/>
      <c r="B24" s="1450" t="s">
        <v>64</v>
      </c>
      <c r="C24" s="979">
        <v>-15</v>
      </c>
      <c r="D24" s="1056">
        <v>-0.45454545454545453</v>
      </c>
      <c r="E24" s="937"/>
      <c r="F24" s="1190"/>
      <c r="G24" s="1190"/>
      <c r="H24" s="1190"/>
      <c r="I24" s="2283">
        <v>18</v>
      </c>
      <c r="J24" s="1275">
        <v>68</v>
      </c>
      <c r="K24" s="1275">
        <v>1</v>
      </c>
      <c r="L24" s="1275">
        <v>25</v>
      </c>
      <c r="M24" s="1276">
        <v>33</v>
      </c>
      <c r="N24" s="1275">
        <v>50</v>
      </c>
      <c r="O24" s="1275">
        <v>91</v>
      </c>
      <c r="P24" s="1275">
        <v>143</v>
      </c>
      <c r="Q24" s="1276">
        <v>123</v>
      </c>
      <c r="R24" s="1275">
        <v>88</v>
      </c>
      <c r="S24" s="1275">
        <v>89</v>
      </c>
      <c r="T24" s="1275">
        <v>78</v>
      </c>
      <c r="U24" s="1276">
        <v>96</v>
      </c>
      <c r="V24" s="1275">
        <v>12</v>
      </c>
      <c r="W24" s="1275">
        <v>42</v>
      </c>
      <c r="X24" s="1275">
        <v>9</v>
      </c>
      <c r="Y24" s="1276">
        <v>37</v>
      </c>
      <c r="Z24" s="1448">
        <v>1</v>
      </c>
      <c r="AA24" s="2085"/>
      <c r="AB24" s="2085"/>
      <c r="AC24" s="2101"/>
      <c r="AD24" s="2085"/>
      <c r="AE24" s="2085"/>
      <c r="AF24" s="2085"/>
      <c r="AG24" s="2085"/>
      <c r="AH24" s="1275">
        <v>44</v>
      </c>
      <c r="AI24" s="1275">
        <v>51</v>
      </c>
      <c r="AJ24" s="1275">
        <v>104</v>
      </c>
      <c r="AK24" s="1276">
        <v>243</v>
      </c>
      <c r="AL24" s="1275">
        <v>671</v>
      </c>
      <c r="AM24" s="1275">
        <v>1758</v>
      </c>
      <c r="AN24" s="1275">
        <v>2459</v>
      </c>
      <c r="AO24" s="1276">
        <v>2915</v>
      </c>
      <c r="AP24" s="1238">
        <v>4124</v>
      </c>
      <c r="AQ24" s="1323">
        <v>5305</v>
      </c>
      <c r="AR24" s="1323">
        <v>5435</v>
      </c>
      <c r="AS24" s="1323">
        <v>5060</v>
      </c>
      <c r="AT24" s="1282">
        <v>4659</v>
      </c>
      <c r="AU24" s="1276">
        <v>4412</v>
      </c>
      <c r="AV24" s="1276">
        <v>4434</v>
      </c>
      <c r="AW24" s="1276">
        <v>4246</v>
      </c>
      <c r="AX24" s="1274"/>
      <c r="AY24" s="1280">
        <v>127</v>
      </c>
      <c r="AZ24" s="1281">
        <v>407</v>
      </c>
      <c r="BA24" s="1025">
        <v>-280</v>
      </c>
      <c r="BB24" s="1056">
        <v>-0.68796068796068799</v>
      </c>
      <c r="BC24" s="1235"/>
      <c r="BD24" s="1935">
        <v>127</v>
      </c>
      <c r="BE24" s="1935">
        <v>407</v>
      </c>
      <c r="BF24" s="1935">
        <v>351</v>
      </c>
      <c r="BG24" s="1447">
        <v>100</v>
      </c>
      <c r="BH24" s="1447">
        <v>1</v>
      </c>
      <c r="BI24" s="2087"/>
      <c r="BJ24" s="2087"/>
      <c r="BK24" s="2087"/>
      <c r="BL24" s="2087"/>
      <c r="BM24" s="1447">
        <v>17751</v>
      </c>
      <c r="BN24" s="2063">
        <v>7194</v>
      </c>
      <c r="BO24" s="2063">
        <v>3711</v>
      </c>
      <c r="BP24" s="2063">
        <v>0</v>
      </c>
      <c r="BQ24" s="1251"/>
      <c r="BS24" s="1226"/>
      <c r="BV24" s="1181"/>
    </row>
    <row r="25" spans="1:74" ht="12.75" customHeight="1" x14ac:dyDescent="0.2">
      <c r="A25" s="971"/>
      <c r="B25" s="1450" t="s">
        <v>89</v>
      </c>
      <c r="C25" s="979">
        <v>-239</v>
      </c>
      <c r="D25" s="1056">
        <v>-8.3420593368237345E-2</v>
      </c>
      <c r="E25" s="937"/>
      <c r="F25" s="1190"/>
      <c r="G25" s="1190"/>
      <c r="H25" s="1190"/>
      <c r="I25" s="2283">
        <v>2626</v>
      </c>
      <c r="J25" s="1275">
        <v>3591</v>
      </c>
      <c r="K25" s="1275">
        <v>3107</v>
      </c>
      <c r="L25" s="1275">
        <v>2830</v>
      </c>
      <c r="M25" s="1276">
        <v>2865</v>
      </c>
      <c r="N25" s="1275">
        <v>3522</v>
      </c>
      <c r="O25" s="1275">
        <v>3072</v>
      </c>
      <c r="P25" s="1275">
        <v>3158</v>
      </c>
      <c r="Q25" s="1276">
        <v>2856</v>
      </c>
      <c r="R25" s="1275">
        <v>2827</v>
      </c>
      <c r="S25" s="1275">
        <v>3071</v>
      </c>
      <c r="T25" s="1275">
        <v>2746</v>
      </c>
      <c r="U25" s="1276">
        <v>2718</v>
      </c>
      <c r="V25" s="1275">
        <v>2479</v>
      </c>
      <c r="W25" s="1275">
        <v>2872</v>
      </c>
      <c r="X25" s="1275">
        <v>2484</v>
      </c>
      <c r="Y25" s="1276">
        <v>2628</v>
      </c>
      <c r="Z25" s="1448">
        <v>244</v>
      </c>
      <c r="AA25" s="2085"/>
      <c r="AB25" s="2085"/>
      <c r="AC25" s="2101"/>
      <c r="AD25" s="2085"/>
      <c r="AE25" s="2085"/>
      <c r="AF25" s="2085"/>
      <c r="AG25" s="2085"/>
      <c r="AH25" s="1275">
        <v>6030</v>
      </c>
      <c r="AI25" s="1275">
        <v>4108</v>
      </c>
      <c r="AJ25" s="1275">
        <v>2461</v>
      </c>
      <c r="AK25" s="1276">
        <v>3886</v>
      </c>
      <c r="AL25" s="1275">
        <v>2268</v>
      </c>
      <c r="AM25" s="1275">
        <v>7826</v>
      </c>
      <c r="AN25" s="1275">
        <v>3206</v>
      </c>
      <c r="AO25" s="1276">
        <v>3942</v>
      </c>
      <c r="AP25" s="1238">
        <v>3477</v>
      </c>
      <c r="AQ25" s="1323">
        <v>3587</v>
      </c>
      <c r="AR25" s="1323">
        <v>2594</v>
      </c>
      <c r="AS25" s="1323">
        <v>2953</v>
      </c>
      <c r="AT25" s="1282">
        <v>2341</v>
      </c>
      <c r="AU25" s="1276">
        <v>3444</v>
      </c>
      <c r="AV25" s="1276">
        <v>1855</v>
      </c>
      <c r="AW25" s="1276">
        <v>6038</v>
      </c>
      <c r="AX25" s="1274"/>
      <c r="AY25" s="1280">
        <v>12393</v>
      </c>
      <c r="AZ25" s="1281">
        <v>12608</v>
      </c>
      <c r="BA25" s="1025">
        <v>-215</v>
      </c>
      <c r="BB25" s="1056">
        <v>-1.705266497461929E-2</v>
      </c>
      <c r="BC25" s="1235"/>
      <c r="BD25" s="1935">
        <v>12393</v>
      </c>
      <c r="BE25" s="1935">
        <v>12608</v>
      </c>
      <c r="BF25" s="1935">
        <v>11362</v>
      </c>
      <c r="BG25" s="1447">
        <v>10463</v>
      </c>
      <c r="BH25" s="1447">
        <v>244</v>
      </c>
      <c r="BI25" s="2087"/>
      <c r="BJ25" s="2087"/>
      <c r="BK25" s="2087"/>
      <c r="BL25" s="2087"/>
      <c r="BM25" s="1447">
        <v>13678</v>
      </c>
      <c r="BN25" s="2063">
        <v>12162</v>
      </c>
      <c r="BO25" s="2063">
        <v>5080</v>
      </c>
      <c r="BP25" s="2063">
        <v>9626</v>
      </c>
      <c r="BQ25" s="1251"/>
      <c r="BS25" s="1226"/>
      <c r="BT25" s="1181"/>
      <c r="BU25" s="1181"/>
      <c r="BV25" s="1181"/>
    </row>
    <row r="26" spans="1:74" ht="12.75" customHeight="1" x14ac:dyDescent="0.2">
      <c r="A26" s="971"/>
      <c r="B26" s="1450" t="s">
        <v>71</v>
      </c>
      <c r="C26" s="979">
        <v>-22</v>
      </c>
      <c r="D26" s="1056">
        <v>-1.0161662817551964E-2</v>
      </c>
      <c r="E26" s="937"/>
      <c r="F26" s="1190"/>
      <c r="G26" s="1190"/>
      <c r="H26" s="1190"/>
      <c r="I26" s="2283">
        <v>2143</v>
      </c>
      <c r="J26" s="1275">
        <v>2266</v>
      </c>
      <c r="K26" s="1275">
        <v>2394</v>
      </c>
      <c r="L26" s="1275">
        <v>2341</v>
      </c>
      <c r="M26" s="1276">
        <v>2165</v>
      </c>
      <c r="N26" s="1275">
        <v>2008</v>
      </c>
      <c r="O26" s="1275">
        <v>1864</v>
      </c>
      <c r="P26" s="1275">
        <v>2420</v>
      </c>
      <c r="Q26" s="1276">
        <v>2404</v>
      </c>
      <c r="R26" s="1275">
        <v>2447</v>
      </c>
      <c r="S26" s="1275">
        <v>2117</v>
      </c>
      <c r="T26" s="1275">
        <v>1907</v>
      </c>
      <c r="U26" s="1276">
        <v>2036</v>
      </c>
      <c r="V26" s="1275">
        <v>1742</v>
      </c>
      <c r="W26" s="1275">
        <v>1812</v>
      </c>
      <c r="X26" s="1275">
        <v>1688</v>
      </c>
      <c r="Y26" s="1276">
        <v>1477</v>
      </c>
      <c r="Z26" s="1448">
        <v>13</v>
      </c>
      <c r="AA26" s="2085"/>
      <c r="AB26" s="2085"/>
      <c r="AC26" s="2101"/>
      <c r="AD26" s="2085"/>
      <c r="AE26" s="2085"/>
      <c r="AF26" s="2085"/>
      <c r="AG26" s="2085"/>
      <c r="AH26" s="1275">
        <v>649</v>
      </c>
      <c r="AI26" s="1275">
        <v>637</v>
      </c>
      <c r="AJ26" s="1275">
        <v>618</v>
      </c>
      <c r="AK26" s="1276">
        <v>602</v>
      </c>
      <c r="AL26" s="1275">
        <v>655</v>
      </c>
      <c r="AM26" s="1275">
        <v>463</v>
      </c>
      <c r="AN26" s="1275">
        <v>411</v>
      </c>
      <c r="AO26" s="1276">
        <v>409</v>
      </c>
      <c r="AP26" s="1238">
        <v>436</v>
      </c>
      <c r="AQ26" s="1323">
        <v>495</v>
      </c>
      <c r="AR26" s="1323">
        <v>472</v>
      </c>
      <c r="AS26" s="1323">
        <v>430</v>
      </c>
      <c r="AT26" s="1282">
        <v>438</v>
      </c>
      <c r="AU26" s="1276">
        <v>380</v>
      </c>
      <c r="AV26" s="1276">
        <v>420</v>
      </c>
      <c r="AW26" s="1276">
        <v>410</v>
      </c>
      <c r="AX26" s="1274"/>
      <c r="AY26" s="1280">
        <v>9166</v>
      </c>
      <c r="AZ26" s="1281">
        <v>8696</v>
      </c>
      <c r="BA26" s="1025">
        <v>470</v>
      </c>
      <c r="BB26" s="1056">
        <v>5.4047838086476542E-2</v>
      </c>
      <c r="BC26" s="1235"/>
      <c r="BD26" s="1935">
        <v>9166</v>
      </c>
      <c r="BE26" s="1935">
        <v>8696</v>
      </c>
      <c r="BF26" s="1935">
        <v>8507</v>
      </c>
      <c r="BG26" s="1447">
        <v>6719</v>
      </c>
      <c r="BH26" s="1447">
        <v>13</v>
      </c>
      <c r="BI26" s="2087"/>
      <c r="BJ26" s="2087"/>
      <c r="BK26" s="2087"/>
      <c r="BL26" s="2087"/>
      <c r="BM26" s="1447">
        <v>1648</v>
      </c>
      <c r="BN26" s="2063">
        <v>1439</v>
      </c>
      <c r="BO26" s="2063">
        <v>1087</v>
      </c>
      <c r="BP26" s="2063">
        <v>1295</v>
      </c>
      <c r="BQ26" s="1251"/>
      <c r="BS26" s="1226"/>
      <c r="BT26" s="1181"/>
      <c r="BU26" s="1181"/>
      <c r="BV26" s="1181"/>
    </row>
    <row r="27" spans="1:74" ht="12.75" customHeight="1" x14ac:dyDescent="0.2">
      <c r="A27" s="969"/>
      <c r="B27" s="1450" t="s">
        <v>72</v>
      </c>
      <c r="C27" s="979">
        <v>-679</v>
      </c>
      <c r="D27" s="1056">
        <v>-0.54407051282051277</v>
      </c>
      <c r="E27" s="1205"/>
      <c r="F27" s="1192"/>
      <c r="G27" s="1192"/>
      <c r="H27" s="1192"/>
      <c r="I27" s="2284">
        <v>569</v>
      </c>
      <c r="J27" s="1281">
        <v>899</v>
      </c>
      <c r="K27" s="1281">
        <v>853</v>
      </c>
      <c r="L27" s="1281">
        <v>1306</v>
      </c>
      <c r="M27" s="1278">
        <v>1248</v>
      </c>
      <c r="N27" s="1281">
        <v>775</v>
      </c>
      <c r="O27" s="1281">
        <v>1318</v>
      </c>
      <c r="P27" s="1281">
        <v>1030</v>
      </c>
      <c r="Q27" s="1278">
        <v>1372</v>
      </c>
      <c r="R27" s="1281">
        <v>1262</v>
      </c>
      <c r="S27" s="1281">
        <v>1291</v>
      </c>
      <c r="T27" s="1281">
        <v>1371</v>
      </c>
      <c r="U27" s="1278">
        <v>969</v>
      </c>
      <c r="V27" s="1281">
        <v>943</v>
      </c>
      <c r="W27" s="1281">
        <v>2003</v>
      </c>
      <c r="X27" s="1281">
        <v>0</v>
      </c>
      <c r="Y27" s="1278">
        <v>0</v>
      </c>
      <c r="Z27" s="1248">
        <v>0</v>
      </c>
      <c r="AA27" s="2085"/>
      <c r="AB27" s="2085"/>
      <c r="AC27" s="2101"/>
      <c r="AD27" s="2085"/>
      <c r="AE27" s="2085"/>
      <c r="AF27" s="2085"/>
      <c r="AG27" s="2085"/>
      <c r="AH27" s="1275">
        <v>2574</v>
      </c>
      <c r="AI27" s="1275">
        <v>3216</v>
      </c>
      <c r="AJ27" s="1275">
        <v>2613</v>
      </c>
      <c r="AK27" s="1276">
        <v>1905</v>
      </c>
      <c r="AL27" s="1275">
        <v>2597</v>
      </c>
      <c r="AM27" s="1275">
        <v>2312</v>
      </c>
      <c r="AN27" s="1275">
        <v>1378</v>
      </c>
      <c r="AO27" s="1276">
        <v>1566</v>
      </c>
      <c r="AP27" s="1238">
        <v>1897</v>
      </c>
      <c r="AQ27" s="1323">
        <v>1550</v>
      </c>
      <c r="AR27" s="1323">
        <v>1341</v>
      </c>
      <c r="AS27" s="1323">
        <v>1372</v>
      </c>
      <c r="AT27" s="1282">
        <v>1370</v>
      </c>
      <c r="AU27" s="1276">
        <v>1663</v>
      </c>
      <c r="AV27" s="1276">
        <v>1517</v>
      </c>
      <c r="AW27" s="1276">
        <v>1521</v>
      </c>
      <c r="AX27" s="1274"/>
      <c r="AY27" s="1280">
        <v>4306</v>
      </c>
      <c r="AZ27" s="1281">
        <v>4495</v>
      </c>
      <c r="BA27" s="1025">
        <v>-189</v>
      </c>
      <c r="BB27" s="1056">
        <v>-4.2046718576195775E-2</v>
      </c>
      <c r="BC27" s="1235"/>
      <c r="BD27" s="1935">
        <v>4306</v>
      </c>
      <c r="BE27" s="1935">
        <v>4495</v>
      </c>
      <c r="BF27" s="1935">
        <v>4893</v>
      </c>
      <c r="BG27" s="1060">
        <v>2946</v>
      </c>
      <c r="BH27" s="2102">
        <v>0</v>
      </c>
      <c r="BI27" s="2087"/>
      <c r="BJ27" s="2087"/>
      <c r="BK27" s="2087"/>
      <c r="BL27" s="2087"/>
      <c r="BM27" s="1447">
        <v>6071</v>
      </c>
      <c r="BN27" s="2063">
        <v>4302</v>
      </c>
      <c r="BO27" s="2063">
        <v>2798</v>
      </c>
      <c r="BP27" s="2063">
        <v>3261</v>
      </c>
      <c r="BQ27" s="1251"/>
      <c r="BS27" s="1226"/>
      <c r="BT27" s="1181"/>
      <c r="BU27" s="1181"/>
      <c r="BV27" s="1181"/>
    </row>
    <row r="28" spans="1:74" ht="12.75" customHeight="1" x14ac:dyDescent="0.2">
      <c r="A28" s="969"/>
      <c r="B28" s="969" t="s">
        <v>160</v>
      </c>
      <c r="C28" s="979">
        <v>0</v>
      </c>
      <c r="D28" s="1056">
        <v>0</v>
      </c>
      <c r="E28" s="937"/>
      <c r="F28" s="1192"/>
      <c r="G28" s="932"/>
      <c r="H28" s="932"/>
      <c r="I28" s="2290">
        <v>0</v>
      </c>
      <c r="J28" s="1281">
        <v>0</v>
      </c>
      <c r="K28" s="1026">
        <v>0</v>
      </c>
      <c r="L28" s="1026">
        <v>0</v>
      </c>
      <c r="M28" s="1308">
        <v>0</v>
      </c>
      <c r="N28" s="1026">
        <v>0</v>
      </c>
      <c r="O28" s="1026">
        <v>0</v>
      </c>
      <c r="P28" s="1026">
        <v>0</v>
      </c>
      <c r="Q28" s="1308">
        <v>783</v>
      </c>
      <c r="R28" s="1026">
        <v>0</v>
      </c>
      <c r="S28" s="1026">
        <v>0</v>
      </c>
      <c r="T28" s="1026">
        <v>0</v>
      </c>
      <c r="U28" s="1308">
        <v>0</v>
      </c>
      <c r="V28" s="1026">
        <v>884</v>
      </c>
      <c r="W28" s="1026">
        <v>1034</v>
      </c>
      <c r="X28" s="1026">
        <v>0</v>
      </c>
      <c r="Y28" s="1308">
        <v>0</v>
      </c>
      <c r="Z28" s="1248">
        <v>0</v>
      </c>
      <c r="AA28" s="1248"/>
      <c r="AB28" s="1248"/>
      <c r="AC28" s="1489"/>
      <c r="AD28" s="1248"/>
      <c r="AE28" s="1248"/>
      <c r="AF28" s="1248"/>
      <c r="AG28" s="1248"/>
      <c r="AH28" s="1026">
        <v>0</v>
      </c>
      <c r="AI28" s="1026">
        <v>0</v>
      </c>
      <c r="AJ28" s="1026">
        <v>0</v>
      </c>
      <c r="AK28" s="1308">
        <v>0</v>
      </c>
      <c r="AL28" s="1026">
        <v>0</v>
      </c>
      <c r="AM28" s="1026">
        <v>5347</v>
      </c>
      <c r="AN28" s="1026">
        <v>0</v>
      </c>
      <c r="AO28" s="1056">
        <v>0</v>
      </c>
      <c r="AP28" s="1252">
        <v>54200</v>
      </c>
      <c r="AQ28" s="1026">
        <v>0</v>
      </c>
      <c r="AR28" s="1026">
        <v>0</v>
      </c>
      <c r="AS28" s="1308">
        <v>0</v>
      </c>
      <c r="AT28" s="1309">
        <v>0</v>
      </c>
      <c r="AU28" s="1308">
        <v>0</v>
      </c>
      <c r="AV28" s="1308">
        <v>0</v>
      </c>
      <c r="AW28" s="1308">
        <v>0</v>
      </c>
      <c r="AX28" s="1055"/>
      <c r="AY28" s="1026">
        <v>0</v>
      </c>
      <c r="AZ28" s="1281">
        <v>783</v>
      </c>
      <c r="BA28" s="1025">
        <v>-783</v>
      </c>
      <c r="BB28" s="1056">
        <v>-1</v>
      </c>
      <c r="BC28" s="1235"/>
      <c r="BD28" s="1935">
        <v>0</v>
      </c>
      <c r="BE28" s="1935">
        <v>783</v>
      </c>
      <c r="BF28" s="1935">
        <v>0</v>
      </c>
      <c r="BG28" s="1465">
        <v>1918</v>
      </c>
      <c r="BH28" s="1465">
        <v>0</v>
      </c>
      <c r="BI28" s="2095"/>
      <c r="BJ28" s="2095"/>
      <c r="BK28" s="2087"/>
      <c r="BL28" s="2095"/>
      <c r="BM28" s="1465">
        <v>0</v>
      </c>
      <c r="BN28" s="2063">
        <v>0</v>
      </c>
      <c r="BO28" s="2063">
        <v>0</v>
      </c>
      <c r="BP28" s="2063">
        <v>0</v>
      </c>
      <c r="BQ28" s="1251"/>
      <c r="BS28" s="1467"/>
      <c r="BT28" s="1397"/>
      <c r="BU28" s="1181"/>
      <c r="BV28" s="1181"/>
    </row>
    <row r="29" spans="1:74" ht="12.75" customHeight="1" x14ac:dyDescent="0.2">
      <c r="A29" s="969"/>
      <c r="B29" s="1450" t="s">
        <v>181</v>
      </c>
      <c r="C29" s="979">
        <v>0</v>
      </c>
      <c r="D29" s="1056">
        <v>0</v>
      </c>
      <c r="E29" s="937"/>
      <c r="F29" s="1192"/>
      <c r="G29" s="932"/>
      <c r="H29" s="932"/>
      <c r="I29" s="2290">
        <v>0</v>
      </c>
      <c r="J29" s="1281">
        <v>0</v>
      </c>
      <c r="K29" s="1026">
        <v>0</v>
      </c>
      <c r="L29" s="1026">
        <v>0</v>
      </c>
      <c r="M29" s="1308">
        <v>0</v>
      </c>
      <c r="N29" s="1026">
        <v>0</v>
      </c>
      <c r="O29" s="1026">
        <v>0</v>
      </c>
      <c r="P29" s="1026">
        <v>0</v>
      </c>
      <c r="Q29" s="1308">
        <v>0</v>
      </c>
      <c r="R29" s="1026">
        <v>0</v>
      </c>
      <c r="S29" s="1026">
        <v>0</v>
      </c>
      <c r="T29" s="1026">
        <v>0</v>
      </c>
      <c r="U29" s="1308">
        <v>0</v>
      </c>
      <c r="V29" s="1026">
        <v>0</v>
      </c>
      <c r="W29" s="1026">
        <v>431</v>
      </c>
      <c r="X29" s="1026">
        <v>900</v>
      </c>
      <c r="Y29" s="1308">
        <v>0</v>
      </c>
      <c r="Z29" s="1448">
        <v>4077</v>
      </c>
      <c r="AA29" s="1248"/>
      <c r="AB29" s="1248"/>
      <c r="AC29" s="1489"/>
      <c r="AD29" s="1248"/>
      <c r="AE29" s="1248"/>
      <c r="AF29" s="1248"/>
      <c r="AG29" s="1248"/>
      <c r="AH29" s="1275"/>
      <c r="AI29" s="1275"/>
      <c r="AJ29" s="1275"/>
      <c r="AK29" s="1276"/>
      <c r="AL29" s="1275"/>
      <c r="AM29" s="1275"/>
      <c r="AN29" s="1275"/>
      <c r="AO29" s="1276"/>
      <c r="AP29" s="1238"/>
      <c r="AQ29" s="1323"/>
      <c r="AR29" s="1323"/>
      <c r="AS29" s="1323"/>
      <c r="AT29" s="1282"/>
      <c r="AU29" s="1276"/>
      <c r="AV29" s="1276"/>
      <c r="AW29" s="1276"/>
      <c r="AX29" s="1055"/>
      <c r="AY29" s="1026">
        <v>0</v>
      </c>
      <c r="AZ29" s="1281">
        <v>0</v>
      </c>
      <c r="BA29" s="1025">
        <v>0</v>
      </c>
      <c r="BB29" s="1056">
        <v>0</v>
      </c>
      <c r="BC29" s="1235"/>
      <c r="BD29" s="1935">
        <v>0</v>
      </c>
      <c r="BE29" s="2103">
        <v>0</v>
      </c>
      <c r="BF29" s="1935">
        <v>0</v>
      </c>
      <c r="BG29" s="1447">
        <v>1331</v>
      </c>
      <c r="BH29" s="1447">
        <v>4077</v>
      </c>
      <c r="BI29" s="2087"/>
      <c r="BJ29" s="2087"/>
      <c r="BK29" s="2087"/>
      <c r="BL29" s="2087"/>
      <c r="BM29" s="1447"/>
      <c r="BN29" s="2063"/>
      <c r="BO29" s="2063"/>
      <c r="BP29" s="2063"/>
      <c r="BQ29" s="1251"/>
      <c r="BS29" s="1226"/>
      <c r="BT29" s="1181"/>
      <c r="BU29" s="1181"/>
      <c r="BV29" s="1181"/>
    </row>
    <row r="30" spans="1:74" ht="12.75" customHeight="1" x14ac:dyDescent="0.2">
      <c r="A30" s="971"/>
      <c r="C30" s="1231">
        <v>-849</v>
      </c>
      <c r="D30" s="1232">
        <v>-2.945155583307316E-2</v>
      </c>
      <c r="E30" s="937"/>
      <c r="F30" s="1194">
        <v>0</v>
      </c>
      <c r="G30" s="1194">
        <v>0</v>
      </c>
      <c r="H30" s="1194">
        <v>0</v>
      </c>
      <c r="I30" s="2286">
        <v>27978</v>
      </c>
      <c r="J30" s="1284">
        <v>31066</v>
      </c>
      <c r="K30" s="1284">
        <v>29462</v>
      </c>
      <c r="L30" s="1284">
        <v>28988</v>
      </c>
      <c r="M30" s="1286">
        <v>28827</v>
      </c>
      <c r="N30" s="1284">
        <v>28996</v>
      </c>
      <c r="O30" s="1284">
        <v>25952</v>
      </c>
      <c r="P30" s="1284">
        <v>26258</v>
      </c>
      <c r="Q30" s="1286">
        <v>26946</v>
      </c>
      <c r="R30" s="1284">
        <v>26718</v>
      </c>
      <c r="S30" s="1284">
        <v>23286</v>
      </c>
      <c r="T30" s="1284">
        <v>22142</v>
      </c>
      <c r="U30" s="1286">
        <v>22126</v>
      </c>
      <c r="V30" s="1284">
        <v>21170</v>
      </c>
      <c r="W30" s="1284">
        <v>23737</v>
      </c>
      <c r="X30" s="1284">
        <v>18389</v>
      </c>
      <c r="Y30" s="1286">
        <v>17560</v>
      </c>
      <c r="Z30" s="2064">
        <v>5726</v>
      </c>
      <c r="AA30" s="2104"/>
      <c r="AB30" s="2104"/>
      <c r="AC30" s="1331"/>
      <c r="AD30" s="2104"/>
      <c r="AE30" s="2104"/>
      <c r="AF30" s="2104"/>
      <c r="AG30" s="1331"/>
      <c r="AH30" s="1284">
        <v>46835</v>
      </c>
      <c r="AI30" s="1284">
        <v>42047</v>
      </c>
      <c r="AJ30" s="1284">
        <v>35213</v>
      </c>
      <c r="AK30" s="1286">
        <v>35168</v>
      </c>
      <c r="AL30" s="1284">
        <v>28967</v>
      </c>
      <c r="AM30" s="1284">
        <v>40216</v>
      </c>
      <c r="AN30" s="1284">
        <v>35911</v>
      </c>
      <c r="AO30" s="1286">
        <v>44683</v>
      </c>
      <c r="AP30" s="1455">
        <v>98603</v>
      </c>
      <c r="AQ30" s="1315">
        <v>48132</v>
      </c>
      <c r="AR30" s="1315">
        <v>44039</v>
      </c>
      <c r="AS30" s="1315">
        <v>57148</v>
      </c>
      <c r="AT30" s="1291">
        <v>55349</v>
      </c>
      <c r="AU30" s="1286">
        <v>50178</v>
      </c>
      <c r="AV30" s="1286">
        <v>41346</v>
      </c>
      <c r="AW30" s="1286">
        <v>55217</v>
      </c>
      <c r="AX30" s="1055"/>
      <c r="AY30" s="1284">
        <v>118343</v>
      </c>
      <c r="AZ30" s="2065">
        <v>108152</v>
      </c>
      <c r="BA30" s="1456">
        <v>10191</v>
      </c>
      <c r="BB30" s="1232">
        <v>9.4228493231747909E-2</v>
      </c>
      <c r="BC30" s="1228"/>
      <c r="BD30" s="1284">
        <v>118343</v>
      </c>
      <c r="BE30" s="1291">
        <v>108152</v>
      </c>
      <c r="BF30" s="1286">
        <v>94272</v>
      </c>
      <c r="BG30" s="1286">
        <v>80856</v>
      </c>
      <c r="BH30" s="1286">
        <v>5726</v>
      </c>
      <c r="BI30" s="2089"/>
      <c r="BJ30" s="2105"/>
      <c r="BK30" s="2092"/>
      <c r="BL30" s="2092"/>
      <c r="BM30" s="1457">
        <v>202090</v>
      </c>
      <c r="BN30" s="2066">
        <v>163976</v>
      </c>
      <c r="BO30" s="2066">
        <v>127504</v>
      </c>
      <c r="BP30" s="2066">
        <v>118638</v>
      </c>
      <c r="BQ30" s="1251"/>
      <c r="BS30" s="1226"/>
      <c r="BT30" s="1181"/>
      <c r="BU30" s="1181"/>
      <c r="BV30" s="1181"/>
    </row>
    <row r="31" spans="1:74" s="1211" customFormat="1" ht="13.5" thickBot="1" x14ac:dyDescent="0.25">
      <c r="A31" s="2465" t="s">
        <v>211</v>
      </c>
      <c r="B31" s="2466"/>
      <c r="C31" s="979">
        <v>-271</v>
      </c>
      <c r="D31" s="1232">
        <v>-4.8916967509025272E-2</v>
      </c>
      <c r="E31" s="937"/>
      <c r="F31" s="1210">
        <v>0</v>
      </c>
      <c r="G31" s="1210">
        <v>0</v>
      </c>
      <c r="H31" s="1210">
        <v>0</v>
      </c>
      <c r="I31" s="2300">
        <v>5269</v>
      </c>
      <c r="J31" s="1323">
        <v>3847</v>
      </c>
      <c r="K31" s="1323">
        <v>5578</v>
      </c>
      <c r="L31" s="1323">
        <v>5051</v>
      </c>
      <c r="M31" s="1453">
        <v>5540</v>
      </c>
      <c r="N31" s="1323">
        <v>6676</v>
      </c>
      <c r="O31" s="1323">
        <v>4013</v>
      </c>
      <c r="P31" s="1323">
        <v>3528</v>
      </c>
      <c r="Q31" s="1453">
        <v>3182</v>
      </c>
      <c r="R31" s="1323">
        <v>6502</v>
      </c>
      <c r="S31" s="1323">
        <v>3732</v>
      </c>
      <c r="T31" s="1323">
        <v>3688</v>
      </c>
      <c r="U31" s="1453">
        <v>4852</v>
      </c>
      <c r="V31" s="1323">
        <v>5536</v>
      </c>
      <c r="W31" s="1322">
        <v>1055</v>
      </c>
      <c r="X31" s="1322">
        <v>2283</v>
      </c>
      <c r="Y31" s="1978">
        <v>2027</v>
      </c>
      <c r="Z31" s="1237">
        <v>-3739</v>
      </c>
      <c r="AA31" s="1330"/>
      <c r="AB31" s="1330"/>
      <c r="AC31" s="1331"/>
      <c r="AD31" s="1330"/>
      <c r="AE31" s="1330"/>
      <c r="AF31" s="1330"/>
      <c r="AG31" s="1331"/>
      <c r="AH31" s="1323">
        <v>8155</v>
      </c>
      <c r="AI31" s="1452">
        <v>9686</v>
      </c>
      <c r="AJ31" s="1323">
        <v>4925</v>
      </c>
      <c r="AK31" s="1453">
        <v>5017</v>
      </c>
      <c r="AL31" s="1452">
        <v>8288</v>
      </c>
      <c r="AM31" s="1452">
        <v>-6684</v>
      </c>
      <c r="AN31" s="1452">
        <v>7933</v>
      </c>
      <c r="AO31" s="1453">
        <v>13170</v>
      </c>
      <c r="AP31" s="1530">
        <v>-44140</v>
      </c>
      <c r="AQ31" s="1286">
        <v>13034</v>
      </c>
      <c r="AR31" s="1286">
        <v>13376</v>
      </c>
      <c r="AS31" s="1315">
        <v>18935</v>
      </c>
      <c r="AT31" s="1315">
        <v>20527</v>
      </c>
      <c r="AU31" s="1315">
        <v>18653</v>
      </c>
      <c r="AV31" s="1315">
        <v>14280</v>
      </c>
      <c r="AW31" s="1315">
        <v>17069</v>
      </c>
      <c r="AX31" s="1055"/>
      <c r="AY31" s="1315">
        <v>20016</v>
      </c>
      <c r="AZ31" s="1025">
        <v>17399</v>
      </c>
      <c r="BA31" s="1925">
        <v>2617</v>
      </c>
      <c r="BB31" s="1232">
        <v>0.15041094315765274</v>
      </c>
      <c r="BC31" s="1228"/>
      <c r="BD31" s="2256">
        <v>20016</v>
      </c>
      <c r="BE31" s="1291">
        <v>17399</v>
      </c>
      <c r="BF31" s="1291">
        <v>18774</v>
      </c>
      <c r="BG31" s="1291">
        <v>10901</v>
      </c>
      <c r="BH31" s="1320">
        <v>-3739</v>
      </c>
      <c r="BI31" s="2106"/>
      <c r="BJ31" s="2092"/>
      <c r="BK31" s="2107"/>
      <c r="BL31" s="2108"/>
      <c r="BM31" s="1479">
        <v>70529</v>
      </c>
      <c r="BN31" s="1369">
        <v>61218</v>
      </c>
      <c r="BO31" s="1369">
        <v>50672</v>
      </c>
      <c r="BP31" s="2069">
        <v>57345</v>
      </c>
      <c r="BQ31" s="1251"/>
      <c r="BR31" s="2210"/>
      <c r="BS31" s="2171"/>
      <c r="BT31" s="1402"/>
      <c r="BU31" s="1402"/>
      <c r="BV31" s="1402"/>
    </row>
    <row r="32" spans="1:74" s="1211" customFormat="1" ht="15" customHeight="1" thickTop="1" x14ac:dyDescent="0.2">
      <c r="A32" s="2275"/>
      <c r="B32" s="1423" t="s">
        <v>347</v>
      </c>
      <c r="C32" s="1231">
        <v>-277</v>
      </c>
      <c r="D32" s="1234">
        <v>-0.46398659966499162</v>
      </c>
      <c r="E32" s="937"/>
      <c r="F32" s="1404"/>
      <c r="G32" s="1404"/>
      <c r="H32" s="1404"/>
      <c r="I32" s="2305">
        <v>320</v>
      </c>
      <c r="J32" s="1487">
        <v>337</v>
      </c>
      <c r="K32" s="1487">
        <v>622</v>
      </c>
      <c r="L32" s="1487">
        <v>634</v>
      </c>
      <c r="M32" s="1481">
        <v>597</v>
      </c>
      <c r="N32" s="1487">
        <v>1044</v>
      </c>
      <c r="O32" s="1487">
        <v>936</v>
      </c>
      <c r="P32" s="1487">
        <v>1105</v>
      </c>
      <c r="Q32" s="1481">
        <v>1115</v>
      </c>
      <c r="R32" s="1487">
        <v>2359</v>
      </c>
      <c r="S32" s="1487">
        <v>2175</v>
      </c>
      <c r="T32" s="1487">
        <v>1880</v>
      </c>
      <c r="U32" s="1481">
        <v>1633</v>
      </c>
      <c r="V32" s="1925">
        <v>1769</v>
      </c>
      <c r="W32" s="1475">
        <v>1743</v>
      </c>
      <c r="X32" s="1475">
        <v>2014</v>
      </c>
      <c r="Y32" s="1481">
        <v>1210</v>
      </c>
      <c r="Z32" s="1475">
        <v>0</v>
      </c>
      <c r="AA32" s="2111"/>
      <c r="AB32" s="2111"/>
      <c r="AC32" s="2112"/>
      <c r="AD32" s="1497"/>
      <c r="AE32" s="1478"/>
      <c r="AF32" s="1478"/>
      <c r="AG32" s="1478"/>
      <c r="AH32" s="1487"/>
      <c r="AI32" s="1487"/>
      <c r="AJ32" s="1487"/>
      <c r="AK32" s="1479"/>
      <c r="AL32" s="1503"/>
      <c r="AM32" s="1503"/>
      <c r="AN32" s="1503"/>
      <c r="AO32" s="1494"/>
      <c r="AP32" s="2071"/>
      <c r="AQ32" s="1491"/>
      <c r="AR32" s="1491"/>
      <c r="AS32" s="1490"/>
      <c r="AT32" s="1490"/>
      <c r="AU32" s="1490"/>
      <c r="AV32" s="1490"/>
      <c r="AW32" s="1490"/>
      <c r="AX32" s="2070"/>
      <c r="AY32" s="1310">
        <v>2190</v>
      </c>
      <c r="AZ32" s="1487">
        <v>4200</v>
      </c>
      <c r="BA32" s="1925">
        <v>-2010</v>
      </c>
      <c r="BB32" s="1232">
        <v>-0.47857142857142859</v>
      </c>
      <c r="BC32" s="2109"/>
      <c r="BD32" s="1935">
        <v>2190</v>
      </c>
      <c r="BE32" s="2113">
        <v>4200</v>
      </c>
      <c r="BF32" s="2112">
        <v>8047</v>
      </c>
      <c r="BG32" s="2112">
        <v>6736</v>
      </c>
      <c r="BH32" s="1481">
        <v>0</v>
      </c>
      <c r="BI32" s="2105"/>
      <c r="BJ32" s="2092"/>
      <c r="BK32" s="2114"/>
      <c r="BL32" s="2110"/>
      <c r="BM32" s="1494"/>
      <c r="BN32" s="1495"/>
      <c r="BO32" s="1495"/>
      <c r="BP32" s="1236"/>
      <c r="BQ32" s="1251"/>
      <c r="BR32" s="2210"/>
      <c r="BS32" s="2171"/>
      <c r="BT32" s="1402"/>
      <c r="BU32" s="1402"/>
      <c r="BV32" s="1402"/>
    </row>
    <row r="33" spans="1:74" s="1211" customFormat="1" ht="13.5" thickBot="1" x14ac:dyDescent="0.25">
      <c r="A33" s="1239" t="s">
        <v>74</v>
      </c>
      <c r="B33" s="970"/>
      <c r="C33" s="2078">
        <v>6</v>
      </c>
      <c r="D33" s="2079">
        <v>1.213837750354036E-3</v>
      </c>
      <c r="E33" s="937"/>
      <c r="F33" s="1410">
        <v>0</v>
      </c>
      <c r="G33" s="1410">
        <v>0</v>
      </c>
      <c r="H33" s="1410">
        <v>0</v>
      </c>
      <c r="I33" s="2365">
        <v>4949</v>
      </c>
      <c r="J33" s="1512">
        <v>3510</v>
      </c>
      <c r="K33" s="1512">
        <v>4956</v>
      </c>
      <c r="L33" s="1512">
        <v>4417</v>
      </c>
      <c r="M33" s="2115">
        <v>4943</v>
      </c>
      <c r="N33" s="1512">
        <v>5632</v>
      </c>
      <c r="O33" s="1512">
        <v>3077</v>
      </c>
      <c r="P33" s="1512">
        <v>2423</v>
      </c>
      <c r="Q33" s="2115">
        <v>2067</v>
      </c>
      <c r="R33" s="1512">
        <v>4143</v>
      </c>
      <c r="S33" s="1512">
        <v>1557</v>
      </c>
      <c r="T33" s="1512">
        <v>1808</v>
      </c>
      <c r="U33" s="2115">
        <v>3219</v>
      </c>
      <c r="V33" s="2116">
        <v>3767</v>
      </c>
      <c r="W33" s="2117">
        <v>-688</v>
      </c>
      <c r="X33" s="2117">
        <v>269</v>
      </c>
      <c r="Y33" s="2118">
        <v>817</v>
      </c>
      <c r="Z33" s="2119">
        <v>-3739</v>
      </c>
      <c r="AA33" s="2117"/>
      <c r="AB33" s="2117"/>
      <c r="AC33" s="2118"/>
      <c r="AD33" s="1510"/>
      <c r="AE33" s="1510"/>
      <c r="AF33" s="1510"/>
      <c r="AG33" s="1514"/>
      <c r="AH33" s="1512">
        <v>-1070</v>
      </c>
      <c r="AI33" s="1512">
        <v>-87</v>
      </c>
      <c r="AJ33" s="1512">
        <v>-3294</v>
      </c>
      <c r="AK33" s="1513">
        <v>-3548</v>
      </c>
      <c r="AL33" s="1515" t="s">
        <v>177</v>
      </c>
      <c r="AM33" s="1515" t="s">
        <v>177</v>
      </c>
      <c r="AN33" s="1515" t="s">
        <v>177</v>
      </c>
      <c r="AO33" s="1516" t="s">
        <v>177</v>
      </c>
      <c r="AP33" s="2072" t="s">
        <v>177</v>
      </c>
      <c r="AQ33" s="1491"/>
      <c r="AR33" s="1491"/>
      <c r="AS33" s="1490"/>
      <c r="AT33" s="1490"/>
      <c r="AU33" s="1490"/>
      <c r="AV33" s="1490"/>
      <c r="AW33" s="1490"/>
      <c r="AX33" s="2070"/>
      <c r="AY33" s="1512">
        <v>17826</v>
      </c>
      <c r="AZ33" s="1512">
        <v>13199</v>
      </c>
      <c r="BA33" s="1485">
        <v>4627</v>
      </c>
      <c r="BB33" s="2079">
        <v>0.35055686036820971</v>
      </c>
      <c r="BC33" s="2109"/>
      <c r="BD33" s="1512">
        <v>17826</v>
      </c>
      <c r="BE33" s="2120">
        <v>13199</v>
      </c>
      <c r="BF33" s="2115">
        <v>10727</v>
      </c>
      <c r="BG33" s="2115">
        <v>4165</v>
      </c>
      <c r="BH33" s="2118">
        <v>-3739</v>
      </c>
      <c r="BI33" s="2121"/>
      <c r="BJ33" s="2122"/>
      <c r="BK33" s="2123"/>
      <c r="BL33" s="2124"/>
      <c r="BM33" s="1516" t="s">
        <v>177</v>
      </c>
      <c r="BN33" s="1520" t="s">
        <v>177</v>
      </c>
      <c r="BO33" s="1520" t="s">
        <v>177</v>
      </c>
      <c r="BP33" s="1236"/>
      <c r="BQ33" s="1251"/>
      <c r="BR33" s="2210"/>
      <c r="BS33" s="2171"/>
      <c r="BT33" s="1402"/>
      <c r="BU33" s="1402"/>
      <c r="BV33" s="1402"/>
    </row>
    <row r="34" spans="1:74" ht="12.75" customHeight="1" thickTop="1" x14ac:dyDescent="0.2">
      <c r="A34" s="1244"/>
      <c r="B34" s="1244"/>
      <c r="C34" s="1025"/>
      <c r="D34" s="975"/>
      <c r="E34" s="1188"/>
      <c r="F34" s="1188"/>
      <c r="G34" s="918"/>
      <c r="H34" s="918"/>
      <c r="I34" s="918"/>
      <c r="J34" s="1251"/>
      <c r="K34" s="969"/>
      <c r="L34" s="969"/>
      <c r="M34" s="969"/>
      <c r="N34" s="969"/>
      <c r="O34" s="969"/>
      <c r="P34" s="969"/>
      <c r="Q34" s="969"/>
      <c r="R34" s="975"/>
      <c r="S34" s="975"/>
      <c r="T34" s="975"/>
      <c r="U34" s="969"/>
      <c r="V34" s="975"/>
      <c r="W34" s="975"/>
      <c r="X34" s="975"/>
      <c r="Y34" s="969"/>
      <c r="Z34" s="975"/>
      <c r="AA34" s="975"/>
      <c r="AB34" s="975"/>
      <c r="AC34" s="969"/>
      <c r="AD34" s="975"/>
      <c r="AE34" s="975"/>
      <c r="AF34" s="975"/>
      <c r="AG34" s="969"/>
      <c r="AH34" s="975"/>
      <c r="AI34" s="975"/>
      <c r="AJ34" s="975"/>
      <c r="AK34" s="969"/>
      <c r="AL34" s="975"/>
      <c r="AM34" s="975"/>
      <c r="AN34" s="975"/>
      <c r="AO34" s="969"/>
      <c r="AP34" s="1244"/>
      <c r="AQ34" s="1244"/>
      <c r="AR34" s="1244"/>
      <c r="AS34" s="1323"/>
      <c r="AT34" s="1323"/>
      <c r="AU34" s="1323"/>
      <c r="AV34" s="1323"/>
      <c r="AW34" s="1323"/>
      <c r="AX34" s="969"/>
      <c r="AY34" s="969"/>
      <c r="AZ34" s="1251"/>
      <c r="BA34" s="1025"/>
      <c r="BB34" s="975"/>
      <c r="BC34" s="1251"/>
      <c r="BD34" s="1251"/>
      <c r="BE34" s="1251"/>
      <c r="BF34" s="1251"/>
      <c r="BG34" s="1251"/>
      <c r="BH34" s="1251"/>
      <c r="BI34" s="1251"/>
      <c r="BJ34" s="1251"/>
      <c r="BK34" s="1251"/>
      <c r="BL34" s="1025"/>
      <c r="BM34" s="1025"/>
      <c r="BN34" s="1236"/>
      <c r="BO34" s="1236"/>
      <c r="BP34" s="1236"/>
      <c r="BQ34" s="1251"/>
      <c r="BS34" s="1226"/>
      <c r="BV34" s="1181"/>
    </row>
    <row r="35" spans="1:74" ht="13.5" customHeight="1" x14ac:dyDescent="0.2">
      <c r="A35" s="1247" t="s">
        <v>369</v>
      </c>
      <c r="B35" s="1244"/>
      <c r="C35" s="2010">
        <v>-0.20000000000000018</v>
      </c>
      <c r="D35" s="975"/>
      <c r="E35" s="939"/>
      <c r="F35" s="939"/>
      <c r="G35" s="939"/>
      <c r="H35" s="939"/>
      <c r="I35" s="939">
        <v>0.68500000000000005</v>
      </c>
      <c r="J35" s="1057">
        <v>0.70799999999999996</v>
      </c>
      <c r="K35" s="1057">
        <v>0.71</v>
      </c>
      <c r="L35" s="1057">
        <v>0.7</v>
      </c>
      <c r="M35" s="1057">
        <v>0.68700000000000006</v>
      </c>
      <c r="N35" s="1057">
        <v>0.64600000000000002</v>
      </c>
      <c r="O35" s="1057">
        <v>0.69099999999999995</v>
      </c>
      <c r="P35" s="1057">
        <v>0.68500000000000005</v>
      </c>
      <c r="Q35" s="1057">
        <v>0.66600000000000004</v>
      </c>
      <c r="R35" s="1057">
        <v>0.60699999999999998</v>
      </c>
      <c r="S35" s="1057">
        <v>0.63600000000000001</v>
      </c>
      <c r="T35" s="1057">
        <v>0.625</v>
      </c>
      <c r="U35" s="1057">
        <v>0.56200000000000006</v>
      </c>
      <c r="V35" s="1057">
        <v>0.57899999999999996</v>
      </c>
      <c r="W35" s="1057">
        <v>0.628</v>
      </c>
      <c r="X35" s="1057">
        <v>0.61899999999999999</v>
      </c>
      <c r="Y35" s="1057">
        <v>0.623</v>
      </c>
      <c r="Z35" s="1057">
        <v>0.55500000000000005</v>
      </c>
      <c r="AA35" s="1248"/>
      <c r="AB35" s="1248"/>
      <c r="AC35" s="1248"/>
      <c r="AD35" s="1248"/>
      <c r="AE35" s="1248"/>
      <c r="AF35" s="1248"/>
      <c r="AG35" s="1248"/>
      <c r="AH35" s="1057">
        <v>0.11445717403164211</v>
      </c>
      <c r="AI35" s="1057">
        <v>0.11710126998240968</v>
      </c>
      <c r="AJ35" s="1057">
        <v>0.15167671533210425</v>
      </c>
      <c r="AK35" s="1057">
        <v>0.1384596242378997</v>
      </c>
      <c r="AL35" s="1057">
        <v>0.14532277546638034</v>
      </c>
      <c r="AM35" s="1057">
        <v>0.18445067398306095</v>
      </c>
      <c r="AN35" s="1057">
        <v>0.19284280631329259</v>
      </c>
      <c r="AO35" s="1057">
        <v>0.157</v>
      </c>
      <c r="AP35" s="1057">
        <v>0.16300000000000001</v>
      </c>
      <c r="AQ35" s="1057">
        <v>0.153</v>
      </c>
      <c r="AR35" s="1057">
        <v>0.16</v>
      </c>
      <c r="AS35" s="1057">
        <v>0.12</v>
      </c>
      <c r="AT35" s="1057">
        <v>0.11600000000000001</v>
      </c>
      <c r="AU35" s="1057">
        <v>0.121</v>
      </c>
      <c r="AV35" s="1057">
        <v>0.14299999999999999</v>
      </c>
      <c r="AW35" s="1057">
        <v>0.104</v>
      </c>
      <c r="AX35" s="969"/>
      <c r="AY35" s="2223">
        <v>0.69899999999999995</v>
      </c>
      <c r="AZ35" s="2223">
        <v>0.68100000000000005</v>
      </c>
      <c r="BA35" s="2010">
        <v>2.9999999999999916</v>
      </c>
      <c r="BB35" s="975"/>
      <c r="BC35" s="969"/>
      <c r="BD35" s="1057">
        <v>0.70099999999999996</v>
      </c>
      <c r="BE35" s="1057">
        <v>0.67100000000000004</v>
      </c>
      <c r="BF35" s="1057">
        <v>0.60599999999999998</v>
      </c>
      <c r="BG35" s="1057">
        <v>0.61099999999999999</v>
      </c>
      <c r="BH35" s="1057">
        <v>0.55500000000000005</v>
      </c>
      <c r="BI35" s="2125"/>
      <c r="BJ35" s="2125"/>
      <c r="BK35" s="2125"/>
      <c r="BL35" s="2125"/>
      <c r="BM35" s="1057">
        <v>0.11899999999999999</v>
      </c>
      <c r="BN35" s="2073">
        <v>9.9000000000000005E-2</v>
      </c>
      <c r="BO35" s="2073">
        <v>7.6999999999999999E-2</v>
      </c>
      <c r="BP35" s="2073">
        <v>7.9000000000000001E-2</v>
      </c>
      <c r="BQ35" s="1251"/>
      <c r="BS35" s="1226"/>
      <c r="BV35" s="1181"/>
    </row>
    <row r="36" spans="1:74" ht="13.5" customHeight="1" x14ac:dyDescent="0.2">
      <c r="A36" s="969" t="s">
        <v>306</v>
      </c>
      <c r="B36" s="1244"/>
      <c r="C36" s="2010">
        <v>1.7453254967698673</v>
      </c>
      <c r="D36" s="975"/>
      <c r="E36" s="939"/>
      <c r="F36" s="939" t="e">
        <v>#DIV/0!</v>
      </c>
      <c r="G36" s="939" t="e">
        <v>#DIV/0!</v>
      </c>
      <c r="H36" s="939" t="e">
        <v>#DIV/0!</v>
      </c>
      <c r="I36" s="939">
        <v>0.36680001203116069</v>
      </c>
      <c r="J36" s="1057">
        <v>0.37295563257239422</v>
      </c>
      <c r="K36" s="1057">
        <v>0.34272260273972605</v>
      </c>
      <c r="L36" s="1057">
        <v>0.33890537324833281</v>
      </c>
      <c r="M36" s="1057">
        <v>0.34934675706346202</v>
      </c>
      <c r="N36" s="1057">
        <v>0.35874074904687148</v>
      </c>
      <c r="O36" s="1057">
        <v>0.34950775905222758</v>
      </c>
      <c r="P36" s="1057">
        <v>0.34905660377358488</v>
      </c>
      <c r="Q36" s="1057">
        <v>0.34871216144450345</v>
      </c>
      <c r="R36" s="1057">
        <v>0.3313967489464178</v>
      </c>
      <c r="S36" s="1057">
        <v>0.34484417795543709</v>
      </c>
      <c r="T36" s="1057">
        <v>0.34018583042973288</v>
      </c>
      <c r="U36" s="1057">
        <v>0.34865445918896881</v>
      </c>
      <c r="V36" s="1057">
        <v>0.34437954017823708</v>
      </c>
      <c r="W36" s="1057">
        <v>0.37532268473701191</v>
      </c>
      <c r="X36" s="1057">
        <v>0.37161377708978327</v>
      </c>
      <c r="Y36" s="1057">
        <v>0.37540205238168173</v>
      </c>
      <c r="Z36" s="1057">
        <v>0.34373427277302465</v>
      </c>
      <c r="AA36" s="1248"/>
      <c r="AB36" s="1248"/>
      <c r="AC36" s="1248"/>
      <c r="AD36" s="1248"/>
      <c r="AE36" s="1248"/>
      <c r="AF36" s="1248"/>
      <c r="AG36" s="1248"/>
      <c r="AH36" s="1057"/>
      <c r="AI36" s="1057"/>
      <c r="AJ36" s="1057"/>
      <c r="AK36" s="1057"/>
      <c r="AL36" s="1057"/>
      <c r="AM36" s="1057"/>
      <c r="AN36" s="1057"/>
      <c r="AO36" s="1057"/>
      <c r="AP36" s="1057"/>
      <c r="AQ36" s="1057"/>
      <c r="AR36" s="1057"/>
      <c r="AS36" s="1057"/>
      <c r="AT36" s="1057"/>
      <c r="AU36" s="1057"/>
      <c r="AV36" s="1057"/>
      <c r="AW36" s="1057"/>
      <c r="AX36" s="969"/>
      <c r="AY36" s="1057">
        <v>0.35105775554897045</v>
      </c>
      <c r="AZ36" s="1057">
        <v>0.35183311960876457</v>
      </c>
      <c r="BA36" s="2010">
        <v>-7.7536405979411471E-2</v>
      </c>
      <c r="BB36" s="975"/>
      <c r="BC36" s="1251"/>
      <c r="BD36" s="1057">
        <v>0.35105775554897045</v>
      </c>
      <c r="BE36" s="1057">
        <v>0.35183311960876457</v>
      </c>
      <c r="BF36" s="1057">
        <v>0.34073739893494681</v>
      </c>
      <c r="BG36" s="1057">
        <v>0.36549800015257694</v>
      </c>
      <c r="BH36" s="1057">
        <v>0.34373427277302465</v>
      </c>
      <c r="BI36" s="2125"/>
      <c r="BJ36" s="2125"/>
      <c r="BK36" s="2125"/>
      <c r="BL36" s="2125"/>
      <c r="BM36" s="1057"/>
      <c r="BN36" s="2073"/>
      <c r="BO36" s="2073"/>
      <c r="BP36" s="2073"/>
      <c r="BQ36" s="1251"/>
      <c r="BS36" s="1226"/>
      <c r="BV36" s="1181"/>
    </row>
    <row r="37" spans="1:74" ht="13.5" customHeight="1" x14ac:dyDescent="0.2">
      <c r="A37" s="969" t="s">
        <v>307</v>
      </c>
      <c r="B37" s="1244"/>
      <c r="C37" s="2010">
        <v>8.9428173804733876E-2</v>
      </c>
      <c r="D37" s="975"/>
      <c r="E37" s="939"/>
      <c r="F37" s="939" t="e">
        <v>#DIV/0!</v>
      </c>
      <c r="G37" s="939" t="e">
        <v>#DIV/0!</v>
      </c>
      <c r="H37" s="939" t="e">
        <v>#DIV/0!</v>
      </c>
      <c r="I37" s="939">
        <v>1.1369446867386531E-2</v>
      </c>
      <c r="J37" s="1057">
        <v>1.1457050382379057E-2</v>
      </c>
      <c r="K37" s="1057">
        <v>1.1843607305936072E-2</v>
      </c>
      <c r="L37" s="1057">
        <v>1.1721848467933841E-2</v>
      </c>
      <c r="M37" s="1057">
        <v>1.0475165129339192E-2</v>
      </c>
      <c r="N37" s="1057">
        <v>1.0148015250056066E-2</v>
      </c>
      <c r="O37" s="1057">
        <v>9.6445853495745037E-3</v>
      </c>
      <c r="P37" s="1057">
        <v>9.1989525280333044E-3</v>
      </c>
      <c r="Q37" s="1057">
        <v>1.0256240042485395E-2</v>
      </c>
      <c r="R37" s="1057">
        <v>1.1830222757375075E-2</v>
      </c>
      <c r="S37" s="1057">
        <v>1.1140721000814272E-2</v>
      </c>
      <c r="T37" s="1057">
        <v>1.3356562137049941E-2</v>
      </c>
      <c r="U37" s="1057">
        <v>2.1536066424494033E-2</v>
      </c>
      <c r="V37" s="1057">
        <v>2.7334681345016101E-3</v>
      </c>
      <c r="W37" s="1057">
        <v>1.5085511455308164E-2</v>
      </c>
      <c r="X37" s="1057">
        <v>1.9785216718266253E-2</v>
      </c>
      <c r="Y37" s="1057">
        <v>1.9758002756930616E-2</v>
      </c>
      <c r="Z37" s="1057">
        <v>0.14292903875188726</v>
      </c>
      <c r="AA37" s="1248"/>
      <c r="AB37" s="1248"/>
      <c r="AC37" s="1248"/>
      <c r="AD37" s="1248"/>
      <c r="AE37" s="1248"/>
      <c r="AF37" s="1248"/>
      <c r="AG37" s="1248"/>
      <c r="AH37" s="1057"/>
      <c r="AI37" s="1057"/>
      <c r="AJ37" s="1057"/>
      <c r="AK37" s="1057"/>
      <c r="AL37" s="1057"/>
      <c r="AM37" s="1057"/>
      <c r="AN37" s="1057"/>
      <c r="AO37" s="1057"/>
      <c r="AP37" s="1057"/>
      <c r="AQ37" s="1057"/>
      <c r="AR37" s="1057"/>
      <c r="AS37" s="1057"/>
      <c r="AT37" s="1057"/>
      <c r="AU37" s="1057"/>
      <c r="AV37" s="1057"/>
      <c r="AW37" s="1057"/>
      <c r="AX37" s="969"/>
      <c r="AY37" s="1057">
        <v>1.1376202487731192E-2</v>
      </c>
      <c r="AZ37" s="1057">
        <v>9.8286751997196352E-3</v>
      </c>
      <c r="BA37" s="2010">
        <v>0.15475272880115573</v>
      </c>
      <c r="BB37" s="975"/>
      <c r="BC37" s="1251"/>
      <c r="BD37" s="1057">
        <v>1.1376202487731192E-2</v>
      </c>
      <c r="BE37" s="1057">
        <v>9.8286751997196352E-3</v>
      </c>
      <c r="BF37" s="1057">
        <v>1.4330449551510005E-2</v>
      </c>
      <c r="BG37" s="1057">
        <v>1.3546650391795721E-2</v>
      </c>
      <c r="BH37" s="1057">
        <v>0.14292903875188726</v>
      </c>
      <c r="BI37" s="2125"/>
      <c r="BJ37" s="2125"/>
      <c r="BK37" s="2125"/>
      <c r="BL37" s="2125"/>
      <c r="BM37" s="1057"/>
      <c r="BN37" s="2073"/>
      <c r="BO37" s="2073"/>
      <c r="BP37" s="2073"/>
      <c r="BQ37" s="1251"/>
      <c r="BS37" s="1226"/>
      <c r="BV37" s="1181"/>
    </row>
    <row r="38" spans="1:74" ht="12.75" customHeight="1" x14ac:dyDescent="0.2">
      <c r="A38" s="1246" t="s">
        <v>76</v>
      </c>
      <c r="B38" s="1244"/>
      <c r="C38" s="2010">
        <v>1.8347536705746015</v>
      </c>
      <c r="D38" s="975"/>
      <c r="E38" s="939"/>
      <c r="F38" s="939" t="e">
        <v>#DIV/0!</v>
      </c>
      <c r="G38" s="939" t="e">
        <v>#DIV/0!</v>
      </c>
      <c r="H38" s="939" t="e">
        <v>#DIV/0!</v>
      </c>
      <c r="I38" s="939">
        <v>0.37816945889854725</v>
      </c>
      <c r="J38" s="1057">
        <v>0.38441268295477327</v>
      </c>
      <c r="K38" s="1057">
        <v>0.35456621004566208</v>
      </c>
      <c r="L38" s="1057">
        <v>0.35062722171626665</v>
      </c>
      <c r="M38" s="1057">
        <v>0.35982192219280124</v>
      </c>
      <c r="N38" s="1057">
        <v>0.36888876429692757</v>
      </c>
      <c r="O38" s="1057">
        <v>0.3591523444018021</v>
      </c>
      <c r="P38" s="1057">
        <v>0.35825555630161821</v>
      </c>
      <c r="Q38" s="1057">
        <v>0.35896840148698883</v>
      </c>
      <c r="R38" s="1057">
        <v>0.3432269717037929</v>
      </c>
      <c r="S38" s="1057">
        <v>0.35598489895625141</v>
      </c>
      <c r="T38" s="1057">
        <v>0.35354239256678283</v>
      </c>
      <c r="U38" s="1057">
        <v>0.37019052561346283</v>
      </c>
      <c r="V38" s="1057">
        <v>0.34711300831273872</v>
      </c>
      <c r="W38" s="1057">
        <v>0.39040819619232009</v>
      </c>
      <c r="X38" s="1057">
        <v>0.39139899380804954</v>
      </c>
      <c r="Y38" s="1057">
        <v>0.39516005513861235</v>
      </c>
      <c r="Z38" s="1057">
        <v>0.48666331152491193</v>
      </c>
      <c r="AA38" s="1248"/>
      <c r="AB38" s="1248"/>
      <c r="AC38" s="1248"/>
      <c r="AD38" s="1248"/>
      <c r="AE38" s="1248"/>
      <c r="AF38" s="1248"/>
      <c r="AG38" s="1248"/>
      <c r="AH38" s="1057">
        <v>0.47650481905801056</v>
      </c>
      <c r="AI38" s="1057">
        <v>0.47118860301934934</v>
      </c>
      <c r="AJ38" s="1057">
        <v>0.48253525337585329</v>
      </c>
      <c r="AK38" s="1057">
        <v>0.46392932686325744</v>
      </c>
      <c r="AL38" s="1057">
        <v>0.35222117836532008</v>
      </c>
      <c r="AM38" s="1057">
        <v>0.423326971251342</v>
      </c>
      <c r="AN38" s="1057">
        <v>0.45880850287382541</v>
      </c>
      <c r="AO38" s="1057">
        <v>0.46583582528131645</v>
      </c>
      <c r="AP38" s="1057">
        <v>0.44400000000000001</v>
      </c>
      <c r="AQ38" s="1057">
        <v>0.46500000000000002</v>
      </c>
      <c r="AR38" s="1057">
        <v>0.442</v>
      </c>
      <c r="AS38" s="1057">
        <v>0.495</v>
      </c>
      <c r="AT38" s="1057">
        <v>0.48199999999999998</v>
      </c>
      <c r="AU38" s="1057">
        <v>0.46300000000000002</v>
      </c>
      <c r="AV38" s="1057">
        <v>0.44700000000000001</v>
      </c>
      <c r="AW38" s="1057">
        <v>0.46200000000000002</v>
      </c>
      <c r="AX38" s="969"/>
      <c r="AY38" s="1057">
        <v>0.36243395803670164</v>
      </c>
      <c r="AZ38" s="1057">
        <v>0.3616617948084842</v>
      </c>
      <c r="BA38" s="2010">
        <v>7.7216322821743733E-2</v>
      </c>
      <c r="BB38" s="975"/>
      <c r="BC38" s="1251"/>
      <c r="BD38" s="1057">
        <v>0.36243395803670164</v>
      </c>
      <c r="BE38" s="1057">
        <v>0.3616617948084842</v>
      </c>
      <c r="BF38" s="1057">
        <v>0.35506784848645684</v>
      </c>
      <c r="BG38" s="1057">
        <v>0.37904465054437264</v>
      </c>
      <c r="BH38" s="1057">
        <v>0.48666331152491193</v>
      </c>
      <c r="BI38" s="2125"/>
      <c r="BJ38" s="2125"/>
      <c r="BK38" s="2125"/>
      <c r="BL38" s="2125"/>
      <c r="BM38" s="1057">
        <v>0.46500000000000002</v>
      </c>
      <c r="BN38" s="1352">
        <v>0.46800000000000003</v>
      </c>
      <c r="BO38" s="1352">
        <v>0.47399999999999998</v>
      </c>
      <c r="BP38" s="1352">
        <v>0.47</v>
      </c>
      <c r="BQ38" s="1251"/>
      <c r="BS38" s="1226"/>
      <c r="BV38" s="1181"/>
    </row>
    <row r="39" spans="1:74" ht="13.5" customHeight="1" x14ac:dyDescent="0.2">
      <c r="A39" s="1246" t="s">
        <v>207</v>
      </c>
      <c r="B39" s="1244"/>
      <c r="C39" s="2010">
        <v>2.1945168652856784</v>
      </c>
      <c r="D39" s="975"/>
      <c r="E39" s="939"/>
      <c r="F39" s="939" t="e">
        <v>#DIV/0!</v>
      </c>
      <c r="G39" s="939" t="e">
        <v>#DIV/0!</v>
      </c>
      <c r="H39" s="939" t="e">
        <v>#DIV/0!</v>
      </c>
      <c r="I39" s="939">
        <v>0.54302643847565191</v>
      </c>
      <c r="J39" s="1057">
        <v>0.55343281872082029</v>
      </c>
      <c r="K39" s="1057">
        <v>0.52545662100456625</v>
      </c>
      <c r="L39" s="1057">
        <v>0.52757131525602985</v>
      </c>
      <c r="M39" s="1057">
        <v>0.52108126982279512</v>
      </c>
      <c r="N39" s="1057">
        <v>0.50008409957389555</v>
      </c>
      <c r="O39" s="1057">
        <v>0.51683630902719835</v>
      </c>
      <c r="P39" s="1057">
        <v>0.51158262270865507</v>
      </c>
      <c r="Q39" s="1057">
        <v>0.51168348380244288</v>
      </c>
      <c r="R39" s="1057">
        <v>0.48211920529801322</v>
      </c>
      <c r="S39" s="1057">
        <v>0.48467688207861426</v>
      </c>
      <c r="T39" s="1057">
        <v>0.49132791327913278</v>
      </c>
      <c r="U39" s="1057">
        <v>0.48161464897323747</v>
      </c>
      <c r="V39" s="1057">
        <v>0.43346064554781699</v>
      </c>
      <c r="W39" s="1057">
        <v>0.49511939335269439</v>
      </c>
      <c r="X39" s="1057">
        <v>0.50174148606811142</v>
      </c>
      <c r="Y39" s="1057">
        <v>0.525450553938837</v>
      </c>
      <c r="Z39" s="1057">
        <v>0.5762455963764469</v>
      </c>
      <c r="AA39" s="1248"/>
      <c r="AB39" s="1248"/>
      <c r="AC39" s="1248"/>
      <c r="AD39" s="1248"/>
      <c r="AE39" s="1248"/>
      <c r="AF39" s="1248"/>
      <c r="AG39" s="1248"/>
      <c r="AH39" s="1057">
        <v>0.57785051827605016</v>
      </c>
      <c r="AI39" s="1057">
        <v>0.54879863916648952</v>
      </c>
      <c r="AJ39" s="1057">
        <v>0.59116049628780709</v>
      </c>
      <c r="AK39" s="1057">
        <v>0.56959064327485376</v>
      </c>
      <c r="AL39" s="1057">
        <v>0.47314454435646219</v>
      </c>
      <c r="AM39" s="1057">
        <v>0.5144936180365024</v>
      </c>
      <c r="AN39" s="1057">
        <v>0.53811239850378612</v>
      </c>
      <c r="AO39" s="1057">
        <v>0.53119112232727772</v>
      </c>
      <c r="AP39" s="1057">
        <v>0.53</v>
      </c>
      <c r="AQ39" s="1057">
        <v>0.51900000000000002</v>
      </c>
      <c r="AR39" s="1057">
        <v>0.503</v>
      </c>
      <c r="AS39" s="1057">
        <v>0.54800000000000004</v>
      </c>
      <c r="AT39" s="1057">
        <v>0.53900000000000003</v>
      </c>
      <c r="AU39" s="1057">
        <v>0.50700000000000001</v>
      </c>
      <c r="AV39" s="1057">
        <v>0.499</v>
      </c>
      <c r="AW39" s="1057">
        <v>0.50900000000000001</v>
      </c>
      <c r="AX39" s="969"/>
      <c r="AY39" s="1057">
        <v>0.53194949370839628</v>
      </c>
      <c r="AZ39" s="1057">
        <v>0.50959371092225469</v>
      </c>
      <c r="BA39" s="2010">
        <v>2.2355782786141587</v>
      </c>
      <c r="BB39" s="975"/>
      <c r="BC39" s="1251"/>
      <c r="BD39" s="1057">
        <v>0.53194949370839628</v>
      </c>
      <c r="BE39" s="1057">
        <v>0.50959371092225469</v>
      </c>
      <c r="BF39" s="1057">
        <v>0.48471418714505599</v>
      </c>
      <c r="BG39" s="1057">
        <v>0.48514009830312671</v>
      </c>
      <c r="BH39" s="1057">
        <v>0.5762455963764469</v>
      </c>
      <c r="BI39" s="2125"/>
      <c r="BJ39" s="2125"/>
      <c r="BK39" s="2125"/>
      <c r="BL39" s="2125"/>
      <c r="BM39" s="1057">
        <v>0.51500000000000001</v>
      </c>
      <c r="BN39" s="1352">
        <v>0.52500000000000002</v>
      </c>
      <c r="BO39" s="1352">
        <v>0.53600000000000003</v>
      </c>
      <c r="BP39" s="1352">
        <v>0.52800000000000002</v>
      </c>
      <c r="BQ39" s="1251"/>
      <c r="BS39" s="1226"/>
      <c r="BV39" s="1181"/>
    </row>
    <row r="40" spans="1:74" ht="12.75" customHeight="1" x14ac:dyDescent="0.2">
      <c r="A40" s="1244" t="s">
        <v>77</v>
      </c>
      <c r="B40" s="1244"/>
      <c r="C40" s="2010">
        <v>-1.9224480787495835</v>
      </c>
      <c r="D40" s="975"/>
      <c r="E40" s="939"/>
      <c r="F40" s="939" t="e">
        <v>#DIV/0!</v>
      </c>
      <c r="G40" s="939" t="e">
        <v>#DIV/0!</v>
      </c>
      <c r="H40" s="939" t="e">
        <v>#DIV/0!</v>
      </c>
      <c r="I40" s="939">
        <v>0.29849309712154481</v>
      </c>
      <c r="J40" s="1057">
        <v>0.3363789992266491</v>
      </c>
      <c r="K40" s="1057">
        <v>0.31535388127853881</v>
      </c>
      <c r="L40" s="1057">
        <v>0.32404007168248183</v>
      </c>
      <c r="M40" s="1057">
        <v>0.31771757790904065</v>
      </c>
      <c r="N40" s="1057">
        <v>0.31276631531733573</v>
      </c>
      <c r="O40" s="1057">
        <v>0.34924078091106292</v>
      </c>
      <c r="P40" s="1057">
        <v>0.3699724702880548</v>
      </c>
      <c r="Q40" s="1057">
        <v>0.3567113648433351</v>
      </c>
      <c r="R40" s="1057">
        <v>0.322155328115593</v>
      </c>
      <c r="S40" s="1057">
        <v>0.37719298245614036</v>
      </c>
      <c r="T40" s="1057">
        <v>0.3658923732094464</v>
      </c>
      <c r="U40" s="1057">
        <v>0.33853510267625475</v>
      </c>
      <c r="V40" s="1057">
        <v>0.32614393769190442</v>
      </c>
      <c r="W40" s="1057">
        <v>0.4206195546950629</v>
      </c>
      <c r="X40" s="1057">
        <v>0.38781927244582043</v>
      </c>
      <c r="Y40" s="1057">
        <v>0.37106243937305355</v>
      </c>
      <c r="Z40" s="1057">
        <v>2.3054856567689983</v>
      </c>
      <c r="AA40" s="1248"/>
      <c r="AB40" s="1248"/>
      <c r="AC40" s="1248"/>
      <c r="AD40" s="1248"/>
      <c r="AE40" s="1248"/>
      <c r="AF40" s="1248"/>
      <c r="AG40" s="1248"/>
      <c r="AH40" s="1057">
        <v>0.27384979087106748</v>
      </c>
      <c r="AI40" s="1057">
        <v>0.26397077300755806</v>
      </c>
      <c r="AJ40" s="1057">
        <v>0.28613782450545616</v>
      </c>
      <c r="AK40" s="1057">
        <v>0.3045617767823815</v>
      </c>
      <c r="AL40" s="1057">
        <v>0.30438867266138775</v>
      </c>
      <c r="AM40" s="1057">
        <v>0.68483836335440773</v>
      </c>
      <c r="AN40" s="1057">
        <v>0.28095064318949003</v>
      </c>
      <c r="AO40" s="1057">
        <v>0.24116294747031269</v>
      </c>
      <c r="AP40" s="1057">
        <v>1.28</v>
      </c>
      <c r="AQ40" s="1057">
        <v>0.26800000000000002</v>
      </c>
      <c r="AR40" s="1057">
        <v>0.26400000000000001</v>
      </c>
      <c r="AS40" s="1057">
        <v>0.20299999999999996</v>
      </c>
      <c r="AT40" s="1057">
        <v>0.19</v>
      </c>
      <c r="AU40" s="1057">
        <v>0.22199999999999998</v>
      </c>
      <c r="AV40" s="1057">
        <v>0.24399999999999999</v>
      </c>
      <c r="AW40" s="1057">
        <v>0.255</v>
      </c>
      <c r="AX40" s="969"/>
      <c r="AY40" s="1057">
        <v>0.32338337224177682</v>
      </c>
      <c r="AZ40" s="2229">
        <v>0.35182515471800302</v>
      </c>
      <c r="BA40" s="2010">
        <v>-2.2205273009953563</v>
      </c>
      <c r="BB40" s="975"/>
      <c r="BC40" s="1251"/>
      <c r="BD40" s="1057">
        <v>0.32338337224177682</v>
      </c>
      <c r="BE40" s="1057">
        <v>0.34558864525173039</v>
      </c>
      <c r="BF40" s="1057">
        <v>0.34921182527466693</v>
      </c>
      <c r="BG40" s="1057">
        <v>0.3751539392089977</v>
      </c>
      <c r="BH40" s="1057">
        <v>2.3054856567689983</v>
      </c>
      <c r="BI40" s="2125"/>
      <c r="BJ40" s="2125"/>
      <c r="BK40" s="2125"/>
      <c r="BL40" s="2125"/>
      <c r="BM40" s="1057">
        <v>0.22599999999999998</v>
      </c>
      <c r="BN40" s="1352">
        <v>0.20299999999999996</v>
      </c>
      <c r="BO40" s="1352">
        <v>0.18</v>
      </c>
      <c r="BP40" s="1352">
        <v>0.14600000000000002</v>
      </c>
      <c r="BQ40" s="1251"/>
      <c r="BS40" s="1226"/>
      <c r="BV40" s="1181"/>
    </row>
    <row r="41" spans="1:74" ht="12.75" customHeight="1" x14ac:dyDescent="0.2">
      <c r="A41" s="1244" t="s">
        <v>78</v>
      </c>
      <c r="B41" s="1244"/>
      <c r="C41" s="2010">
        <v>0.2720687865360949</v>
      </c>
      <c r="D41" s="975"/>
      <c r="E41" s="939"/>
      <c r="F41" s="939" t="e">
        <v>#DIV/0!</v>
      </c>
      <c r="G41" s="939" t="e">
        <v>#DIV/0!</v>
      </c>
      <c r="H41" s="939" t="e">
        <v>#DIV/0!</v>
      </c>
      <c r="I41" s="939">
        <v>0.84151953559719672</v>
      </c>
      <c r="J41" s="1057">
        <v>0.88981181794746944</v>
      </c>
      <c r="K41" s="1057">
        <v>0.84081050228310505</v>
      </c>
      <c r="L41" s="1057">
        <v>0.85161138693851168</v>
      </c>
      <c r="M41" s="1057">
        <v>0.83879884773183577</v>
      </c>
      <c r="N41" s="1057">
        <v>0.81285041489123122</v>
      </c>
      <c r="O41" s="1057">
        <v>0.86607708993826127</v>
      </c>
      <c r="P41" s="1057">
        <v>0.88155509299670987</v>
      </c>
      <c r="Q41" s="1057">
        <v>0.89438396176314394</v>
      </c>
      <c r="R41" s="1057">
        <v>0.80427453341360622</v>
      </c>
      <c r="S41" s="1057">
        <v>0.86186986453475456</v>
      </c>
      <c r="T41" s="1057">
        <v>0.85722028648857918</v>
      </c>
      <c r="U41" s="1057">
        <v>0.82014975164949222</v>
      </c>
      <c r="V41" s="1057">
        <v>0.79270575900546691</v>
      </c>
      <c r="W41" s="1057">
        <v>0.95744595030655055</v>
      </c>
      <c r="X41" s="1057">
        <v>0.8895607585139319</v>
      </c>
      <c r="Y41" s="1057">
        <v>0.89651299331189049</v>
      </c>
      <c r="Z41" s="1057">
        <v>2.8817312531454453</v>
      </c>
      <c r="AA41" s="1248"/>
      <c r="AB41" s="1248"/>
      <c r="AC41" s="1248"/>
      <c r="AD41" s="1248"/>
      <c r="AE41" s="1248"/>
      <c r="AF41" s="1248"/>
      <c r="AG41" s="1248"/>
      <c r="AH41" s="1057">
        <v>0.8517003091471177</v>
      </c>
      <c r="AI41" s="1057">
        <v>0.81276941217404752</v>
      </c>
      <c r="AJ41" s="1057">
        <v>0.8772983207932632</v>
      </c>
      <c r="AK41" s="1057">
        <v>0.87515242005723526</v>
      </c>
      <c r="AL41" s="1057">
        <v>0.77753321701784994</v>
      </c>
      <c r="AM41" s="1057">
        <v>1.1993319813909102</v>
      </c>
      <c r="AN41" s="1057">
        <v>0.81906304169327615</v>
      </c>
      <c r="AO41" s="1057">
        <v>0.77235406979759047</v>
      </c>
      <c r="AP41" s="1057">
        <v>1.81</v>
      </c>
      <c r="AQ41" s="1057">
        <v>0.78700000000000003</v>
      </c>
      <c r="AR41" s="1057">
        <v>0.76700000000000002</v>
      </c>
      <c r="AS41" s="1057">
        <v>0.751</v>
      </c>
      <c r="AT41" s="1057">
        <v>0.72899999999999998</v>
      </c>
      <c r="AU41" s="1057">
        <v>0.72899999999999998</v>
      </c>
      <c r="AV41" s="1057">
        <v>0.74299999999999999</v>
      </c>
      <c r="AW41" s="1057">
        <v>0.76400000000000001</v>
      </c>
      <c r="AX41" s="969"/>
      <c r="AY41" s="1057">
        <v>0.8553328659501731</v>
      </c>
      <c r="AZ41" s="1057">
        <v>0.86141886564025771</v>
      </c>
      <c r="BA41" s="2010">
        <v>-0.60859996900846092</v>
      </c>
      <c r="BB41" s="975"/>
      <c r="BC41" s="1251"/>
      <c r="BD41" s="1057">
        <v>0.8553328659501731</v>
      </c>
      <c r="BE41" s="1057">
        <v>0.86141886564025771</v>
      </c>
      <c r="BF41" s="1057">
        <v>0.83392601241972297</v>
      </c>
      <c r="BG41" s="1057">
        <v>0.88119707488257026</v>
      </c>
      <c r="BH41" s="1057">
        <v>2.8817312531454453</v>
      </c>
      <c r="BI41" s="2125"/>
      <c r="BJ41" s="2125"/>
      <c r="BK41" s="2125"/>
      <c r="BL41" s="2125"/>
      <c r="BM41" s="1057">
        <v>0.74099999999999999</v>
      </c>
      <c r="BN41" s="1352">
        <v>0.72799999999999998</v>
      </c>
      <c r="BO41" s="1352">
        <v>0.71599999999999997</v>
      </c>
      <c r="BP41" s="1352">
        <v>0.67400000000000004</v>
      </c>
      <c r="BQ41" s="1251"/>
      <c r="BS41" s="1226"/>
      <c r="BV41" s="1181"/>
    </row>
    <row r="42" spans="1:74" ht="12.75" customHeight="1" x14ac:dyDescent="0.2">
      <c r="A42" s="1246" t="s">
        <v>178</v>
      </c>
      <c r="B42" s="1244"/>
      <c r="C42" s="2010">
        <v>-0.27206878653609767</v>
      </c>
      <c r="D42" s="975"/>
      <c r="E42" s="939"/>
      <c r="F42" s="939" t="e">
        <v>#DIV/0!</v>
      </c>
      <c r="G42" s="939" t="e">
        <v>#DIV/0!</v>
      </c>
      <c r="H42" s="939" t="e">
        <v>#DIV/0!</v>
      </c>
      <c r="I42" s="939">
        <v>0.15848046440280325</v>
      </c>
      <c r="J42" s="1057">
        <v>0.11018818205253057</v>
      </c>
      <c r="K42" s="1057">
        <v>0.15918949771689497</v>
      </c>
      <c r="L42" s="1057">
        <v>0.14838861306148829</v>
      </c>
      <c r="M42" s="1057">
        <v>0.16120115226816423</v>
      </c>
      <c r="N42" s="1057">
        <v>0.18714958510876878</v>
      </c>
      <c r="O42" s="1057">
        <v>0.1339229100617387</v>
      </c>
      <c r="P42" s="1057">
        <v>0.11844490700329013</v>
      </c>
      <c r="Q42" s="1057">
        <v>0.10561603823685609</v>
      </c>
      <c r="R42" s="1057">
        <v>0.19572546658639373</v>
      </c>
      <c r="S42" s="1057">
        <v>0.13813013546524538</v>
      </c>
      <c r="T42" s="1057">
        <v>0.14277971351142082</v>
      </c>
      <c r="U42" s="1057">
        <v>0.17985024835050781</v>
      </c>
      <c r="V42" s="1057">
        <v>0.20729424099453306</v>
      </c>
      <c r="W42" s="1057">
        <v>4.2554049693449503E-2</v>
      </c>
      <c r="X42" s="1057">
        <v>0.11043924148606811</v>
      </c>
      <c r="Y42" s="1057">
        <v>0.10348700668810946</v>
      </c>
      <c r="Z42" s="1057">
        <v>-1.8817312531454453</v>
      </c>
      <c r="AA42" s="1248"/>
      <c r="AB42" s="1248"/>
      <c r="AC42" s="1248"/>
      <c r="AD42" s="1248"/>
      <c r="AE42" s="1248"/>
      <c r="AF42" s="1248"/>
      <c r="AG42" s="1248"/>
      <c r="AH42" s="1057">
        <v>0.14829969085288233</v>
      </c>
      <c r="AI42" s="1057">
        <v>0.18723058782595248</v>
      </c>
      <c r="AJ42" s="1057">
        <v>0.12270167920673676</v>
      </c>
      <c r="AK42" s="1057">
        <v>0.12484757994276471</v>
      </c>
      <c r="AL42" s="1057">
        <v>0.22246678298215006</v>
      </c>
      <c r="AM42" s="1057">
        <v>-0.19933198139091018</v>
      </c>
      <c r="AN42" s="1057">
        <v>0.18093695830672385</v>
      </c>
      <c r="AO42" s="1057">
        <v>0.22764593020240956</v>
      </c>
      <c r="AP42" s="1057">
        <v>-0.81</v>
      </c>
      <c r="AQ42" s="1057">
        <v>0.21299999999999997</v>
      </c>
      <c r="AR42" s="1057">
        <v>0.23299999999999998</v>
      </c>
      <c r="AS42" s="1057">
        <v>0.249</v>
      </c>
      <c r="AT42" s="1057">
        <v>0.27100000000000002</v>
      </c>
      <c r="AU42" s="1057">
        <v>0.27100000000000002</v>
      </c>
      <c r="AV42" s="1057">
        <v>0.25700000000000001</v>
      </c>
      <c r="AW42" s="1057">
        <v>0.23599999999999999</v>
      </c>
      <c r="AX42" s="969"/>
      <c r="AY42" s="1057">
        <v>0.1446671340498269</v>
      </c>
      <c r="AZ42" s="1057">
        <v>0.13858113435974226</v>
      </c>
      <c r="BA42" s="2010">
        <v>0.60859996900846369</v>
      </c>
      <c r="BB42" s="975"/>
      <c r="BC42" s="1251"/>
      <c r="BD42" s="1057">
        <v>0.1446671340498269</v>
      </c>
      <c r="BE42" s="1057">
        <v>0.13858113435974226</v>
      </c>
      <c r="BF42" s="1057">
        <v>0.16607398758027705</v>
      </c>
      <c r="BG42" s="1057">
        <v>0.11880292511742974</v>
      </c>
      <c r="BH42" s="1057">
        <v>-1.8817312531454453</v>
      </c>
      <c r="BI42" s="2125"/>
      <c r="BJ42" s="2125"/>
      <c r="BK42" s="2125"/>
      <c r="BL42" s="2125"/>
      <c r="BM42" s="1057">
        <v>0.25900000000000001</v>
      </c>
      <c r="BN42" s="1352">
        <v>0.27200000000000002</v>
      </c>
      <c r="BO42" s="1352">
        <v>0.28400000000000003</v>
      </c>
      <c r="BP42" s="1352">
        <v>0.32599999999999996</v>
      </c>
      <c r="BQ42" s="1251"/>
      <c r="BS42" s="1226"/>
      <c r="BV42" s="1181"/>
    </row>
    <row r="43" spans="1:74" ht="12.75" customHeight="1" x14ac:dyDescent="0.2">
      <c r="A43" s="1246" t="s">
        <v>79</v>
      </c>
      <c r="B43" s="1244"/>
      <c r="C43" s="2010">
        <v>0.50256990758099085</v>
      </c>
      <c r="D43" s="975"/>
      <c r="E43" s="939"/>
      <c r="F43" s="939" t="e">
        <v>#DIV/0!</v>
      </c>
      <c r="G43" s="939" t="e">
        <v>#DIV/0!</v>
      </c>
      <c r="H43" s="939" t="e">
        <v>#DIV/0!</v>
      </c>
      <c r="I43" s="939">
        <v>0.14885553583781996</v>
      </c>
      <c r="J43" s="1057">
        <v>0.10053561710537622</v>
      </c>
      <c r="K43" s="1057">
        <v>0.14143835616438355</v>
      </c>
      <c r="L43" s="1057">
        <v>0.1297629190046711</v>
      </c>
      <c r="M43" s="1057">
        <v>0.14382983676201005</v>
      </c>
      <c r="N43" s="1057">
        <v>0.15788293339313747</v>
      </c>
      <c r="O43" s="1057">
        <v>0.10268646754546971</v>
      </c>
      <c r="P43" s="1057">
        <v>8.1346941516148533E-2</v>
      </c>
      <c r="Q43" s="1057">
        <v>6.8607275624004246E-2</v>
      </c>
      <c r="R43" s="1057">
        <v>0.12471402769416015</v>
      </c>
      <c r="S43" s="1057">
        <v>5.7628247834776818E-2</v>
      </c>
      <c r="T43" s="1057">
        <v>6.9996128532713905E-2</v>
      </c>
      <c r="U43" s="1057">
        <v>0.11931944547409</v>
      </c>
      <c r="V43" s="1057">
        <v>0.14105444469407624</v>
      </c>
      <c r="W43" s="1057">
        <v>-2.7750887383026782E-2</v>
      </c>
      <c r="X43" s="1057">
        <v>1.3012770897832817E-2</v>
      </c>
      <c r="Y43" s="1057">
        <v>4.171133915352019E-2</v>
      </c>
      <c r="Z43" s="1057">
        <v>-1.8817312531454453</v>
      </c>
      <c r="AA43" s="1248"/>
      <c r="AB43" s="1248"/>
      <c r="AC43" s="1248"/>
      <c r="AD43" s="1248"/>
      <c r="AE43" s="1248"/>
      <c r="AF43" s="1248"/>
      <c r="AG43" s="1248"/>
      <c r="AH43" s="1057">
        <v>-1.9458083287870524E-2</v>
      </c>
      <c r="AI43" s="1057">
        <v>-1.6817118667001719E-3</v>
      </c>
      <c r="AJ43" s="1057">
        <v>-8.2066869300911852E-2</v>
      </c>
      <c r="AK43" s="975" t="s">
        <v>177</v>
      </c>
      <c r="AL43" s="975" t="s">
        <v>177</v>
      </c>
      <c r="AM43" s="975" t="s">
        <v>177</v>
      </c>
      <c r="AN43" s="975" t="s">
        <v>177</v>
      </c>
      <c r="AO43" s="975" t="s">
        <v>177</v>
      </c>
      <c r="AP43" s="975" t="s">
        <v>177</v>
      </c>
      <c r="AQ43" s="975" t="s">
        <v>177</v>
      </c>
      <c r="AR43" s="975" t="s">
        <v>177</v>
      </c>
      <c r="AS43" s="975"/>
      <c r="AT43" s="975"/>
      <c r="AU43" s="975"/>
      <c r="AV43" s="975"/>
      <c r="AW43" s="975"/>
      <c r="AX43" s="2012"/>
      <c r="AY43" s="1057">
        <v>0.128838745582145</v>
      </c>
      <c r="AZ43" s="1057">
        <v>0.10512859316134479</v>
      </c>
      <c r="BA43" s="2010">
        <v>2.3710152420800212</v>
      </c>
      <c r="BB43" s="975"/>
      <c r="BC43" s="1517"/>
      <c r="BD43" s="1057">
        <v>0.128838745582145</v>
      </c>
      <c r="BE43" s="1057">
        <v>0.10512859316134479</v>
      </c>
      <c r="BF43" s="1057">
        <v>9.4890575517930759E-2</v>
      </c>
      <c r="BG43" s="1057">
        <v>4.5391632246041175E-2</v>
      </c>
      <c r="BH43" s="1057">
        <v>-1.8817312531454453</v>
      </c>
      <c r="BI43" s="2125"/>
      <c r="BJ43" s="2126"/>
      <c r="BK43" s="2126"/>
      <c r="BL43" s="2126"/>
      <c r="BM43" s="975" t="s">
        <v>177</v>
      </c>
      <c r="BN43" s="975" t="s">
        <v>177</v>
      </c>
      <c r="BO43" s="1074" t="s">
        <v>177</v>
      </c>
      <c r="BP43" s="1352"/>
      <c r="BQ43" s="1251"/>
      <c r="BS43" s="1226"/>
      <c r="BV43" s="1181"/>
    </row>
    <row r="44" spans="1:74" ht="12.75" customHeight="1" x14ac:dyDescent="0.2">
      <c r="A44" s="1244"/>
      <c r="B44" s="1244"/>
      <c r="C44" s="1025"/>
      <c r="D44" s="975"/>
      <c r="E44" s="926"/>
      <c r="F44" s="926"/>
      <c r="G44" s="926"/>
      <c r="H44" s="926"/>
      <c r="I44" s="926"/>
      <c r="J44" s="975"/>
      <c r="K44" s="975"/>
      <c r="L44" s="975"/>
      <c r="M44" s="975"/>
      <c r="N44" s="975"/>
      <c r="O44" s="975"/>
      <c r="P44" s="975"/>
      <c r="Q44" s="975"/>
      <c r="R44" s="975"/>
      <c r="S44" s="975"/>
      <c r="T44" s="975"/>
      <c r="U44" s="975"/>
      <c r="V44" s="975"/>
      <c r="W44" s="975"/>
      <c r="X44" s="975"/>
      <c r="Y44" s="975"/>
      <c r="Z44" s="975"/>
      <c r="AA44" s="2127"/>
      <c r="AB44" s="2127"/>
      <c r="AC44" s="2127"/>
      <c r="AD44" s="2127"/>
      <c r="AE44" s="2127"/>
      <c r="AF44" s="2127"/>
      <c r="AG44" s="2127"/>
      <c r="AH44" s="975"/>
      <c r="AI44" s="975"/>
      <c r="AJ44" s="975"/>
      <c r="AK44" s="975"/>
      <c r="AL44" s="975"/>
      <c r="AM44" s="975"/>
      <c r="AN44" s="975"/>
      <c r="AO44" s="969"/>
      <c r="AP44" s="1244"/>
      <c r="AQ44" s="1244"/>
      <c r="AR44" s="1244"/>
      <c r="AS44" s="1244"/>
      <c r="AT44" s="1041"/>
      <c r="AU44" s="1041"/>
      <c r="AV44" s="1041"/>
      <c r="AW44" s="1041"/>
      <c r="AX44" s="969"/>
      <c r="AY44" s="969"/>
      <c r="AZ44" s="1251"/>
      <c r="BA44" s="1025"/>
      <c r="BB44" s="975"/>
      <c r="BC44" s="1251"/>
      <c r="BD44" s="1057"/>
      <c r="BE44" s="1057"/>
      <c r="BF44" s="1057"/>
      <c r="BG44" s="1057"/>
      <c r="BH44" s="1057"/>
      <c r="BI44" s="2125"/>
      <c r="BJ44" s="2125"/>
      <c r="BK44" s="2128"/>
      <c r="BL44" s="2129"/>
      <c r="BM44" s="1025"/>
      <c r="BN44" s="1353"/>
      <c r="BO44" s="1353"/>
      <c r="BP44" s="1353"/>
      <c r="BQ44" s="1251"/>
      <c r="BS44" s="1226"/>
      <c r="BV44" s="1181"/>
    </row>
    <row r="45" spans="1:74" ht="13.5" customHeight="1" x14ac:dyDescent="0.2">
      <c r="A45" s="977" t="s">
        <v>277</v>
      </c>
      <c r="B45" s="2080"/>
      <c r="C45" s="1025">
        <v>-403</v>
      </c>
      <c r="D45" s="975">
        <v>-1.7665366238548197E-2</v>
      </c>
      <c r="E45" s="931"/>
      <c r="F45" s="931">
        <v>0</v>
      </c>
      <c r="G45" s="931">
        <v>0</v>
      </c>
      <c r="H45" s="931">
        <v>0</v>
      </c>
      <c r="I45" s="931">
        <v>22410</v>
      </c>
      <c r="J45" s="1025">
        <v>22791</v>
      </c>
      <c r="K45" s="1025">
        <v>24530</v>
      </c>
      <c r="L45" s="1025">
        <v>22948</v>
      </c>
      <c r="M45" s="1025">
        <v>22813</v>
      </c>
      <c r="N45" s="1025">
        <v>21763</v>
      </c>
      <c r="O45" s="1025">
        <v>20307</v>
      </c>
      <c r="P45" s="1025">
        <v>20420</v>
      </c>
      <c r="Q45" s="1025">
        <v>20486</v>
      </c>
      <c r="R45" s="1025">
        <v>20156</v>
      </c>
      <c r="S45" s="1025">
        <v>18984</v>
      </c>
      <c r="T45" s="1025">
        <v>17655</v>
      </c>
      <c r="U45" s="1025">
        <v>16125</v>
      </c>
      <c r="V45" s="1025">
        <v>15936</v>
      </c>
      <c r="W45" s="1025">
        <v>15228</v>
      </c>
      <c r="X45" s="1025">
        <v>13122</v>
      </c>
      <c r="Y45" s="1025">
        <v>12583</v>
      </c>
      <c r="Z45" s="1025">
        <v>13087.2</v>
      </c>
      <c r="AA45" s="1322"/>
      <c r="AB45" s="1322"/>
      <c r="AC45" s="1322"/>
      <c r="AD45" s="1322"/>
      <c r="AE45" s="1322"/>
      <c r="AF45" s="1322"/>
      <c r="AG45" s="1322"/>
      <c r="AH45" s="1025">
        <v>0</v>
      </c>
      <c r="AI45" s="1025">
        <v>423</v>
      </c>
      <c r="AJ45" s="1025">
        <v>453</v>
      </c>
      <c r="AK45" s="1025">
        <v>443</v>
      </c>
      <c r="AL45" s="1025">
        <v>393</v>
      </c>
      <c r="AM45" s="1025">
        <v>454</v>
      </c>
      <c r="AN45" s="1025">
        <v>609</v>
      </c>
      <c r="AO45" s="1025">
        <v>747</v>
      </c>
      <c r="AP45" s="1025">
        <v>730</v>
      </c>
      <c r="AQ45" s="1025">
        <v>760</v>
      </c>
      <c r="AR45" s="1025">
        <v>777</v>
      </c>
      <c r="AS45" s="1025">
        <v>815</v>
      </c>
      <c r="AT45" s="1025">
        <v>807</v>
      </c>
      <c r="AU45" s="1025">
        <v>814</v>
      </c>
      <c r="AV45" s="1025">
        <v>745</v>
      </c>
      <c r="AW45" s="1025">
        <v>712</v>
      </c>
      <c r="AX45" s="969"/>
      <c r="AY45" s="1026">
        <v>22791</v>
      </c>
      <c r="AZ45" s="1281">
        <v>21763</v>
      </c>
      <c r="BA45" s="1025">
        <v>1028</v>
      </c>
      <c r="BB45" s="975">
        <v>4.7236134724072967E-2</v>
      </c>
      <c r="BC45" s="1251"/>
      <c r="BD45" s="1025">
        <v>22791</v>
      </c>
      <c r="BE45" s="1025">
        <v>21763</v>
      </c>
      <c r="BF45" s="1025">
        <v>20156</v>
      </c>
      <c r="BG45" s="1025">
        <v>15936</v>
      </c>
      <c r="BH45" s="1025">
        <v>13087.2</v>
      </c>
      <c r="BI45" s="2129"/>
      <c r="BJ45" s="2129"/>
      <c r="BK45" s="2129"/>
      <c r="BL45" s="2129"/>
      <c r="BM45" s="1025">
        <v>807</v>
      </c>
      <c r="BN45" s="977">
        <v>613</v>
      </c>
      <c r="BO45" s="977">
        <v>380</v>
      </c>
      <c r="BP45" s="977">
        <v>237</v>
      </c>
      <c r="BQ45" s="1251"/>
      <c r="BS45" s="1226"/>
      <c r="BV45" s="1181"/>
    </row>
    <row r="46" spans="1:74" ht="12.75" customHeight="1" x14ac:dyDescent="0.2">
      <c r="A46" s="1246"/>
      <c r="B46" s="1247"/>
      <c r="C46" s="1025"/>
      <c r="D46" s="975"/>
      <c r="E46" s="931"/>
      <c r="F46" s="931"/>
      <c r="G46" s="931"/>
      <c r="H46" s="931"/>
      <c r="I46" s="931"/>
      <c r="J46" s="1025"/>
      <c r="K46" s="1025"/>
      <c r="L46" s="1025"/>
      <c r="M46" s="1025"/>
      <c r="N46" s="1025"/>
      <c r="O46" s="1025"/>
      <c r="P46" s="1025"/>
      <c r="Q46" s="1025"/>
      <c r="R46" s="1025"/>
      <c r="S46" s="1025"/>
      <c r="T46" s="1025"/>
      <c r="U46" s="1025"/>
      <c r="V46" s="1025"/>
      <c r="W46" s="1025"/>
      <c r="X46" s="1025"/>
      <c r="Y46" s="1025"/>
      <c r="Z46" s="1025"/>
      <c r="AA46" s="2129"/>
      <c r="AB46" s="2129"/>
      <c r="AC46" s="2129"/>
      <c r="AD46" s="2129"/>
      <c r="AE46" s="2129"/>
      <c r="AF46" s="2129"/>
      <c r="AG46" s="2129"/>
      <c r="AH46" s="1025"/>
      <c r="AI46" s="1025"/>
      <c r="AJ46" s="1025"/>
      <c r="AK46" s="1025"/>
      <c r="AL46" s="1025"/>
      <c r="AM46" s="1025"/>
      <c r="AN46" s="1025"/>
      <c r="AO46" s="1025"/>
      <c r="AP46" s="1025"/>
      <c r="AQ46" s="1025"/>
      <c r="AR46" s="1025"/>
      <c r="AS46" s="1025"/>
      <c r="AT46" s="1025"/>
      <c r="AU46" s="1025"/>
      <c r="AV46" s="1025"/>
      <c r="AW46" s="1025"/>
      <c r="AX46" s="1251"/>
      <c r="AY46" s="1251"/>
      <c r="AZ46" s="1251"/>
      <c r="BA46" s="1025"/>
      <c r="BB46" s="975"/>
      <c r="BC46" s="1251"/>
      <c r="BD46" s="1025"/>
      <c r="BE46" s="1025"/>
      <c r="BF46" s="1025"/>
      <c r="BG46" s="1025"/>
      <c r="BH46" s="1025"/>
      <c r="BI46" s="2129"/>
      <c r="BJ46" s="2129"/>
      <c r="BK46" s="2129"/>
      <c r="BL46" s="2129"/>
      <c r="BM46" s="1025"/>
      <c r="BN46" s="1244"/>
      <c r="BO46" s="1244"/>
      <c r="BP46" s="1244"/>
      <c r="BQ46" s="1251"/>
      <c r="BS46" s="1226"/>
      <c r="BV46" s="1181"/>
    </row>
    <row r="47" spans="1:74" ht="12.75" customHeight="1" x14ac:dyDescent="0.2">
      <c r="A47" s="1246" t="s">
        <v>88</v>
      </c>
      <c r="B47" s="1247"/>
      <c r="C47" s="1025">
        <v>5</v>
      </c>
      <c r="D47" s="975">
        <v>1.6393442622950821E-2</v>
      </c>
      <c r="E47" s="931"/>
      <c r="F47" s="931">
        <v>0</v>
      </c>
      <c r="G47" s="931">
        <v>0</v>
      </c>
      <c r="H47" s="931">
        <v>0</v>
      </c>
      <c r="I47" s="931">
        <v>310</v>
      </c>
      <c r="J47" s="1025">
        <v>312</v>
      </c>
      <c r="K47" s="1025">
        <v>317</v>
      </c>
      <c r="L47" s="1025">
        <v>313</v>
      </c>
      <c r="M47" s="1025">
        <v>305</v>
      </c>
      <c r="N47" s="1025">
        <v>303</v>
      </c>
      <c r="O47" s="1025">
        <v>308</v>
      </c>
      <c r="P47" s="1025">
        <v>305</v>
      </c>
      <c r="Q47" s="1025">
        <v>305</v>
      </c>
      <c r="R47" s="1025">
        <v>294</v>
      </c>
      <c r="S47" s="1025">
        <v>294</v>
      </c>
      <c r="T47" s="1025">
        <v>287</v>
      </c>
      <c r="U47" s="1025">
        <v>289</v>
      </c>
      <c r="V47" s="1025">
        <v>294</v>
      </c>
      <c r="W47" s="1025">
        <v>298</v>
      </c>
      <c r="X47" s="1025">
        <v>262</v>
      </c>
      <c r="Y47" s="1025">
        <v>267</v>
      </c>
      <c r="Z47" s="1025">
        <v>276</v>
      </c>
      <c r="AA47" s="2129"/>
      <c r="AB47" s="2129"/>
      <c r="AC47" s="2129"/>
      <c r="AD47" s="2129"/>
      <c r="AE47" s="2129"/>
      <c r="AF47" s="2129"/>
      <c r="AG47" s="2129"/>
      <c r="AH47" s="1025">
        <v>680</v>
      </c>
      <c r="AI47" s="1025">
        <v>707</v>
      </c>
      <c r="AJ47" s="1025">
        <v>698</v>
      </c>
      <c r="AK47" s="1025">
        <v>688</v>
      </c>
      <c r="AL47" s="1025">
        <v>700</v>
      </c>
      <c r="AM47" s="1025">
        <v>725</v>
      </c>
      <c r="AN47" s="1025">
        <v>744</v>
      </c>
      <c r="AO47" s="1025">
        <v>760</v>
      </c>
      <c r="AP47" s="1025">
        <v>762</v>
      </c>
      <c r="AQ47" s="1025">
        <v>772</v>
      </c>
      <c r="AR47" s="1025">
        <v>784</v>
      </c>
      <c r="AS47" s="1025">
        <v>757</v>
      </c>
      <c r="AT47" s="1025">
        <v>728</v>
      </c>
      <c r="AU47" s="1025">
        <v>725</v>
      </c>
      <c r="AV47" s="1025">
        <v>719</v>
      </c>
      <c r="AW47" s="1025">
        <v>710</v>
      </c>
      <c r="AX47" s="1251"/>
      <c r="AY47" s="1281">
        <v>312</v>
      </c>
      <c r="AZ47" s="1281">
        <v>303</v>
      </c>
      <c r="BA47" s="1025">
        <v>9</v>
      </c>
      <c r="BB47" s="975">
        <v>2.9702970297029702E-2</v>
      </c>
      <c r="BC47" s="1251"/>
      <c r="BD47" s="1025">
        <v>312</v>
      </c>
      <c r="BE47" s="1025">
        <v>303</v>
      </c>
      <c r="BF47" s="1025">
        <v>294</v>
      </c>
      <c r="BG47" s="1025">
        <v>294</v>
      </c>
      <c r="BH47" s="1025">
        <v>276</v>
      </c>
      <c r="BI47" s="2129"/>
      <c r="BJ47" s="2129"/>
      <c r="BK47" s="2129"/>
      <c r="BL47" s="2129"/>
      <c r="BM47" s="1025">
        <v>728</v>
      </c>
      <c r="BN47" s="977">
        <v>689</v>
      </c>
      <c r="BO47" s="977">
        <v>657</v>
      </c>
      <c r="BP47" s="977">
        <v>623</v>
      </c>
      <c r="BQ47" s="1251"/>
      <c r="BS47" s="1226"/>
      <c r="BV47" s="1181"/>
    </row>
    <row r="48" spans="1:74" ht="13.5" customHeight="1" x14ac:dyDescent="0.2">
      <c r="A48" s="1450" t="s">
        <v>415</v>
      </c>
      <c r="B48" s="1246"/>
      <c r="C48" s="1025">
        <v>6</v>
      </c>
      <c r="D48" s="975">
        <v>5.4054054054054057E-2</v>
      </c>
      <c r="E48" s="931"/>
      <c r="F48" s="931">
        <v>0</v>
      </c>
      <c r="G48" s="931">
        <v>0</v>
      </c>
      <c r="H48" s="931">
        <v>0</v>
      </c>
      <c r="I48" s="931">
        <v>117</v>
      </c>
      <c r="J48" s="1025">
        <v>118</v>
      </c>
      <c r="K48" s="1025">
        <v>117</v>
      </c>
      <c r="L48" s="1025">
        <v>114</v>
      </c>
      <c r="M48" s="1025">
        <v>111</v>
      </c>
      <c r="N48" s="1025">
        <v>114</v>
      </c>
      <c r="O48" s="1025">
        <v>113</v>
      </c>
      <c r="P48" s="1025">
        <v>113</v>
      </c>
      <c r="Q48" s="1025">
        <v>116</v>
      </c>
      <c r="R48" s="1025">
        <v>118</v>
      </c>
      <c r="S48" s="1025">
        <v>119</v>
      </c>
      <c r="T48" s="1025">
        <v>115</v>
      </c>
      <c r="U48" s="1025">
        <v>119</v>
      </c>
      <c r="V48" s="1025">
        <v>122</v>
      </c>
      <c r="W48" s="1025">
        <v>119</v>
      </c>
      <c r="X48" s="1025">
        <v>96</v>
      </c>
      <c r="Y48" s="1025">
        <v>98</v>
      </c>
      <c r="Z48" s="1025">
        <v>106</v>
      </c>
      <c r="AA48" s="2129"/>
      <c r="AB48" s="2129"/>
      <c r="AC48" s="2129"/>
      <c r="AD48" s="2129"/>
      <c r="AE48" s="2129"/>
      <c r="AF48" s="2129"/>
      <c r="AG48" s="2129"/>
      <c r="AH48" s="1025">
        <v>0</v>
      </c>
      <c r="AI48" s="1025">
        <v>0</v>
      </c>
      <c r="AJ48" s="1025">
        <v>0</v>
      </c>
      <c r="AK48" s="1025">
        <v>0</v>
      </c>
      <c r="AL48" s="1025">
        <v>0</v>
      </c>
      <c r="AM48" s="1025">
        <v>0</v>
      </c>
      <c r="AN48" s="1025">
        <v>0</v>
      </c>
      <c r="AO48" s="1025">
        <v>0</v>
      </c>
      <c r="AP48" s="1025">
        <v>0</v>
      </c>
      <c r="AQ48" s="1025">
        <v>0</v>
      </c>
      <c r="AR48" s="1025">
        <v>0</v>
      </c>
      <c r="AS48" s="1025">
        <v>0</v>
      </c>
      <c r="AT48" s="1025">
        <v>0</v>
      </c>
      <c r="AU48" s="1025">
        <v>0</v>
      </c>
      <c r="AV48" s="1025">
        <v>0</v>
      </c>
      <c r="AW48" s="1025">
        <v>0</v>
      </c>
      <c r="AX48" s="1251"/>
      <c r="AY48" s="1281">
        <v>118</v>
      </c>
      <c r="AZ48" s="1281">
        <v>114</v>
      </c>
      <c r="BA48" s="1025">
        <v>4</v>
      </c>
      <c r="BB48" s="975">
        <v>3.5087719298245612E-2</v>
      </c>
      <c r="BC48" s="1251"/>
      <c r="BD48" s="1025">
        <v>118</v>
      </c>
      <c r="BE48" s="1025">
        <v>114</v>
      </c>
      <c r="BF48" s="1025">
        <v>118</v>
      </c>
      <c r="BG48" s="1025">
        <v>122</v>
      </c>
      <c r="BH48" s="1025">
        <v>106</v>
      </c>
      <c r="BI48" s="2129"/>
      <c r="BJ48" s="2129"/>
      <c r="BK48" s="2129"/>
      <c r="BL48" s="2129"/>
      <c r="BM48" s="1025"/>
      <c r="BN48" s="977"/>
      <c r="BO48" s="977"/>
      <c r="BP48" s="977"/>
      <c r="BQ48" s="1251"/>
      <c r="BS48" s="1226"/>
      <c r="BV48" s="1181"/>
    </row>
    <row r="49" spans="1:74" ht="12.75" customHeight="1" x14ac:dyDescent="0.2">
      <c r="A49" s="969"/>
      <c r="B49" s="969"/>
      <c r="C49" s="1251"/>
      <c r="D49" s="1251"/>
      <c r="E49" s="1188"/>
      <c r="F49" s="1188"/>
      <c r="G49" s="1188"/>
      <c r="H49" s="1188"/>
      <c r="I49" s="918"/>
      <c r="J49" s="1251"/>
      <c r="K49" s="1251"/>
      <c r="L49" s="1251"/>
      <c r="M49" s="969"/>
      <c r="N49" s="1251"/>
      <c r="O49" s="1251"/>
      <c r="P49" s="1251"/>
      <c r="Q49" s="969"/>
      <c r="R49" s="1251"/>
      <c r="S49" s="1251"/>
      <c r="T49" s="1251"/>
      <c r="U49" s="969"/>
      <c r="V49" s="1251"/>
      <c r="W49" s="1251"/>
      <c r="X49" s="1251"/>
      <c r="Y49" s="969"/>
      <c r="Z49" s="1251"/>
      <c r="AA49" s="1251"/>
      <c r="AB49" s="1251"/>
      <c r="AC49" s="969"/>
      <c r="AD49" s="1251"/>
      <c r="AE49" s="1251"/>
      <c r="AF49" s="1251"/>
      <c r="AG49" s="969"/>
      <c r="AH49" s="1251"/>
      <c r="AI49" s="1251"/>
      <c r="AJ49" s="1251"/>
      <c r="AK49" s="969"/>
      <c r="AL49" s="1251"/>
      <c r="AM49" s="1251"/>
      <c r="AN49" s="1251"/>
      <c r="AO49" s="969"/>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44"/>
      <c r="BO49" s="1235"/>
      <c r="BP49" s="1235"/>
      <c r="BQ49" s="1251"/>
      <c r="BS49" s="1226"/>
      <c r="BV49" s="1181"/>
    </row>
    <row r="50" spans="1:74" ht="18" customHeight="1" x14ac:dyDescent="0.2">
      <c r="A50" s="1428" t="s">
        <v>252</v>
      </c>
      <c r="B50" s="969"/>
      <c r="C50" s="1235"/>
      <c r="D50" s="1235"/>
      <c r="E50" s="1188"/>
      <c r="F50" s="1188"/>
      <c r="G50" s="1188"/>
      <c r="H50" s="1188"/>
      <c r="I50" s="918"/>
      <c r="J50" s="1251"/>
      <c r="K50" s="1251"/>
      <c r="L50" s="1251"/>
      <c r="M50" s="1251"/>
      <c r="N50" s="1251"/>
      <c r="O50" s="1251"/>
      <c r="P50" s="1251"/>
      <c r="Q50" s="1251"/>
      <c r="R50" s="1251"/>
      <c r="S50" s="1251"/>
      <c r="T50" s="2130"/>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35"/>
      <c r="AS50" s="1235"/>
      <c r="AT50" s="1235"/>
      <c r="AU50" s="1235"/>
      <c r="AV50" s="1235"/>
      <c r="AW50" s="1235"/>
      <c r="AX50" s="1251"/>
      <c r="AY50" s="1524"/>
      <c r="AZ50" s="1235"/>
      <c r="BA50" s="1251"/>
      <c r="BB50" s="1251"/>
      <c r="BC50" s="1235"/>
      <c r="BD50" s="1235"/>
      <c r="BE50" s="1235"/>
      <c r="BF50" s="1235"/>
      <c r="BG50" s="1235"/>
      <c r="BH50" s="1235"/>
      <c r="BI50" s="1235"/>
      <c r="BJ50" s="1235"/>
      <c r="BK50" s="1235"/>
      <c r="BL50" s="1235"/>
      <c r="BM50" s="1235"/>
      <c r="BN50" s="1244"/>
      <c r="BO50" s="1235"/>
      <c r="BP50" s="1235"/>
      <c r="BQ50" s="1251"/>
      <c r="BS50" s="1226"/>
      <c r="BV50" s="1181"/>
    </row>
    <row r="51" spans="1:74" ht="12.75" customHeight="1" x14ac:dyDescent="0.2">
      <c r="A51" s="1429"/>
      <c r="B51" s="969"/>
      <c r="C51" s="1235"/>
      <c r="D51" s="1235"/>
      <c r="E51" s="1188"/>
      <c r="F51" s="1413"/>
      <c r="G51" s="1413"/>
      <c r="H51" s="1413"/>
      <c r="I51" s="1188"/>
      <c r="J51" s="1525"/>
      <c r="K51" s="1525"/>
      <c r="L51" s="1525"/>
      <c r="M51" s="1251"/>
      <c r="N51" s="1525"/>
      <c r="O51" s="1525"/>
      <c r="P51" s="1525"/>
      <c r="Q51" s="1251"/>
      <c r="R51" s="1525"/>
      <c r="S51" s="1525"/>
      <c r="T51" s="1525"/>
      <c r="U51" s="1251"/>
      <c r="V51" s="1525"/>
      <c r="W51" s="1525"/>
      <c r="X51" s="1525"/>
      <c r="Y51" s="1251"/>
      <c r="Z51" s="1525"/>
      <c r="AA51" s="1251"/>
      <c r="AB51" s="1525"/>
      <c r="AC51" s="1251"/>
      <c r="AD51" s="1525"/>
      <c r="AE51" s="1251"/>
      <c r="AF51" s="1525"/>
      <c r="AG51" s="1251"/>
      <c r="AH51" s="1525"/>
      <c r="AI51" s="1251"/>
      <c r="AJ51" s="1525"/>
      <c r="AK51" s="1251"/>
      <c r="AL51" s="1525"/>
      <c r="AM51" s="1251"/>
      <c r="AN51" s="1251"/>
      <c r="AO51" s="1251"/>
      <c r="AP51" s="1251"/>
      <c r="AQ51" s="1251"/>
      <c r="AR51" s="1235"/>
      <c r="AS51" s="1235"/>
      <c r="AT51" s="1235"/>
      <c r="AU51" s="1235"/>
      <c r="AV51" s="1235"/>
      <c r="AW51" s="1235"/>
      <c r="AX51" s="1251"/>
      <c r="AY51" s="1235"/>
      <c r="AZ51" s="1235"/>
      <c r="BA51" s="1251"/>
      <c r="BB51" s="1251"/>
      <c r="BC51" s="1235"/>
      <c r="BD51" s="1235"/>
      <c r="BE51" s="1235"/>
      <c r="BF51" s="1235"/>
      <c r="BG51" s="1235"/>
      <c r="BH51" s="1235"/>
      <c r="BI51" s="1235"/>
      <c r="BJ51" s="1235"/>
      <c r="BK51" s="1235"/>
      <c r="BL51" s="1235"/>
      <c r="BM51" s="1235"/>
      <c r="BN51" s="1349"/>
      <c r="BO51" s="1349"/>
      <c r="BP51" s="1349"/>
      <c r="BQ51" s="1251"/>
      <c r="BS51" s="1226"/>
      <c r="BV51" s="1181"/>
    </row>
    <row r="52" spans="1:74" ht="12.75" customHeight="1" x14ac:dyDescent="0.2">
      <c r="A52" s="968"/>
      <c r="B52" s="969"/>
      <c r="C52" s="2455" t="s">
        <v>456</v>
      </c>
      <c r="D52" s="2456"/>
      <c r="E52" s="919"/>
      <c r="F52" s="921"/>
      <c r="G52" s="921"/>
      <c r="H52" s="921"/>
      <c r="I52" s="2280"/>
      <c r="J52" s="1000"/>
      <c r="K52" s="1000"/>
      <c r="L52" s="1000"/>
      <c r="M52" s="1261"/>
      <c r="N52" s="1000"/>
      <c r="O52" s="1000"/>
      <c r="P52" s="1000"/>
      <c r="Q52" s="1261"/>
      <c r="R52" s="1000"/>
      <c r="S52" s="1000"/>
      <c r="T52" s="1000"/>
      <c r="U52" s="1261"/>
      <c r="V52" s="1000"/>
      <c r="W52" s="1000"/>
      <c r="X52" s="1000"/>
      <c r="Y52" s="1261"/>
      <c r="Z52" s="1262"/>
      <c r="AA52" s="1263"/>
      <c r="AB52" s="1000"/>
      <c r="AC52" s="1261"/>
      <c r="AD52" s="1262"/>
      <c r="AE52" s="1263"/>
      <c r="AF52" s="1000"/>
      <c r="AG52" s="1261"/>
      <c r="AI52" s="1263"/>
      <c r="AJ52" s="964"/>
      <c r="AK52" s="1261"/>
      <c r="AL52" s="1263"/>
      <c r="AN52" s="1000"/>
      <c r="AO52" s="1261"/>
      <c r="AP52" s="1263"/>
      <c r="AQ52" s="1263"/>
      <c r="AR52" s="1263"/>
      <c r="AS52" s="1263"/>
      <c r="AT52" s="1264"/>
      <c r="AU52" s="1261"/>
      <c r="AV52" s="1261"/>
      <c r="AW52" s="1261"/>
      <c r="AX52" s="1265"/>
      <c r="AY52" s="1006" t="s">
        <v>448</v>
      </c>
      <c r="AZ52" s="1006"/>
      <c r="BA52" s="1006" t="s">
        <v>441</v>
      </c>
      <c r="BB52" s="1007"/>
      <c r="BC52" s="1008"/>
      <c r="BD52" s="1009"/>
      <c r="BE52" s="1009"/>
      <c r="BF52" s="1009"/>
      <c r="BG52" s="1009"/>
      <c r="BH52" s="1009"/>
      <c r="BI52" s="1009"/>
      <c r="BJ52" s="1009"/>
      <c r="BK52" s="1009"/>
      <c r="BL52" s="1526"/>
      <c r="BM52" s="1527"/>
      <c r="BN52" s="1009"/>
      <c r="BO52" s="1009"/>
      <c r="BP52" s="1009"/>
      <c r="BQ52" s="1230"/>
      <c r="BS52" s="1226"/>
      <c r="BV52" s="1181"/>
    </row>
    <row r="53" spans="1:74" ht="12.75" customHeight="1" x14ac:dyDescent="0.2">
      <c r="A53" s="968" t="s">
        <v>2</v>
      </c>
      <c r="B53" s="969"/>
      <c r="C53" s="2457" t="s">
        <v>39</v>
      </c>
      <c r="D53" s="2458"/>
      <c r="E53" s="924"/>
      <c r="F53" s="925" t="s">
        <v>452</v>
      </c>
      <c r="G53" s="925" t="s">
        <v>453</v>
      </c>
      <c r="H53" s="925" t="s">
        <v>454</v>
      </c>
      <c r="I53" s="2281" t="s">
        <v>455</v>
      </c>
      <c r="J53" s="1010" t="s">
        <v>399</v>
      </c>
      <c r="K53" s="1010" t="s">
        <v>398</v>
      </c>
      <c r="L53" s="1010" t="s">
        <v>397</v>
      </c>
      <c r="M53" s="1011" t="s">
        <v>395</v>
      </c>
      <c r="N53" s="1010" t="s">
        <v>373</v>
      </c>
      <c r="O53" s="1010" t="s">
        <v>374</v>
      </c>
      <c r="P53" s="1010" t="s">
        <v>375</v>
      </c>
      <c r="Q53" s="1011" t="s">
        <v>376</v>
      </c>
      <c r="R53" s="1010" t="s">
        <v>330</v>
      </c>
      <c r="S53" s="1010" t="s">
        <v>329</v>
      </c>
      <c r="T53" s="1010" t="s">
        <v>328</v>
      </c>
      <c r="U53" s="1011" t="s">
        <v>326</v>
      </c>
      <c r="V53" s="1010" t="s">
        <v>282</v>
      </c>
      <c r="W53" s="1010" t="s">
        <v>283</v>
      </c>
      <c r="X53" s="1010" t="s">
        <v>284</v>
      </c>
      <c r="Y53" s="1011" t="s">
        <v>285</v>
      </c>
      <c r="Z53" s="1012" t="s">
        <v>220</v>
      </c>
      <c r="AA53" s="1010" t="s">
        <v>221</v>
      </c>
      <c r="AB53" s="1010" t="s">
        <v>222</v>
      </c>
      <c r="AC53" s="1011" t="s">
        <v>219</v>
      </c>
      <c r="AD53" s="1012" t="s">
        <v>185</v>
      </c>
      <c r="AE53" s="1010" t="s">
        <v>186</v>
      </c>
      <c r="AF53" s="1010" t="s">
        <v>187</v>
      </c>
      <c r="AG53" s="1011" t="s">
        <v>188</v>
      </c>
      <c r="AH53" s="1010" t="s">
        <v>118</v>
      </c>
      <c r="AI53" s="1010" t="s">
        <v>117</v>
      </c>
      <c r="AJ53" s="1010" t="s">
        <v>116</v>
      </c>
      <c r="AK53" s="1011" t="s">
        <v>115</v>
      </c>
      <c r="AL53" s="1010" t="s">
        <v>83</v>
      </c>
      <c r="AM53" s="1010" t="s">
        <v>84</v>
      </c>
      <c r="AN53" s="1010" t="s">
        <v>85</v>
      </c>
      <c r="AO53" s="1011" t="s">
        <v>30</v>
      </c>
      <c r="AP53" s="1010" t="s">
        <v>31</v>
      </c>
      <c r="AQ53" s="1010" t="s">
        <v>32</v>
      </c>
      <c r="AR53" s="1010" t="s">
        <v>33</v>
      </c>
      <c r="AS53" s="1010" t="s">
        <v>34</v>
      </c>
      <c r="AT53" s="1013" t="s">
        <v>35</v>
      </c>
      <c r="AU53" s="1011" t="s">
        <v>36</v>
      </c>
      <c r="AV53" s="1011" t="s">
        <v>37</v>
      </c>
      <c r="AW53" s="1011" t="s">
        <v>38</v>
      </c>
      <c r="AX53" s="1014"/>
      <c r="AY53" s="1010" t="s">
        <v>399</v>
      </c>
      <c r="AZ53" s="1010" t="s">
        <v>373</v>
      </c>
      <c r="BA53" s="2485" t="s">
        <v>39</v>
      </c>
      <c r="BB53" s="2458"/>
      <c r="BC53" s="1362"/>
      <c r="BD53" s="1012" t="s">
        <v>438</v>
      </c>
      <c r="BE53" s="1012" t="s">
        <v>385</v>
      </c>
      <c r="BF53" s="1012" t="s">
        <v>332</v>
      </c>
      <c r="BG53" s="1012" t="s">
        <v>287</v>
      </c>
      <c r="BH53" s="1012" t="s">
        <v>224</v>
      </c>
      <c r="BI53" s="1012" t="s">
        <v>120</v>
      </c>
      <c r="BJ53" s="1012" t="s">
        <v>119</v>
      </c>
      <c r="BK53" s="1012" t="s">
        <v>43</v>
      </c>
      <c r="BL53" s="1012" t="s">
        <v>40</v>
      </c>
      <c r="BM53" s="1013" t="s">
        <v>41</v>
      </c>
      <c r="BN53" s="1013" t="s">
        <v>138</v>
      </c>
      <c r="BO53" s="1013" t="s">
        <v>139</v>
      </c>
      <c r="BP53" s="1013" t="s">
        <v>140</v>
      </c>
      <c r="BQ53" s="1230"/>
      <c r="BS53" s="1226"/>
      <c r="BV53" s="1181"/>
    </row>
    <row r="54" spans="1:74" ht="12.75" customHeight="1" x14ac:dyDescent="0.2">
      <c r="A54" s="1250"/>
      <c r="B54" s="1251" t="s">
        <v>4</v>
      </c>
      <c r="C54" s="1432">
        <v>-1120</v>
      </c>
      <c r="D54" s="975">
        <v>-3.2589402624610818E-2</v>
      </c>
      <c r="E54" s="1187"/>
      <c r="F54" s="1191">
        <v>0</v>
      </c>
      <c r="G54" s="1191">
        <v>0</v>
      </c>
      <c r="H54" s="1191">
        <v>0</v>
      </c>
      <c r="I54" s="2314">
        <v>33247</v>
      </c>
      <c r="J54" s="1280">
        <v>34913</v>
      </c>
      <c r="K54" s="1280">
        <v>35040</v>
      </c>
      <c r="L54" s="1280">
        <v>34039</v>
      </c>
      <c r="M54" s="1528">
        <v>34367</v>
      </c>
      <c r="N54" s="1280">
        <v>35672</v>
      </c>
      <c r="O54" s="1280">
        <v>29965</v>
      </c>
      <c r="P54" s="1280">
        <v>29786</v>
      </c>
      <c r="Q54" s="1528">
        <v>30128</v>
      </c>
      <c r="R54" s="1280">
        <v>33220</v>
      </c>
      <c r="S54" s="1280">
        <v>27018</v>
      </c>
      <c r="T54" s="1280">
        <v>25830</v>
      </c>
      <c r="U54" s="1528">
        <v>26978</v>
      </c>
      <c r="V54" s="1280">
        <v>26706</v>
      </c>
      <c r="W54" s="1280">
        <v>24792</v>
      </c>
      <c r="X54" s="1280">
        <v>20672</v>
      </c>
      <c r="Y54" s="1528">
        <v>19587</v>
      </c>
      <c r="Z54" s="1280">
        <v>1987</v>
      </c>
      <c r="AA54" s="2128"/>
      <c r="AB54" s="2128"/>
      <c r="AC54" s="2131"/>
      <c r="AD54" s="2128"/>
      <c r="AE54" s="2128"/>
      <c r="AF54" s="2128"/>
      <c r="AG54" s="2131"/>
      <c r="AH54" s="1280">
        <v>54990</v>
      </c>
      <c r="AI54" s="1280">
        <v>51733</v>
      </c>
      <c r="AJ54" s="1280">
        <v>40138</v>
      </c>
      <c r="AK54" s="1528">
        <v>40185</v>
      </c>
      <c r="AL54" s="1545">
        <v>37255</v>
      </c>
      <c r="AM54" s="1280">
        <v>33532</v>
      </c>
      <c r="AN54" s="1280">
        <v>43844</v>
      </c>
      <c r="AO54" s="1528">
        <v>57853</v>
      </c>
      <c r="AP54" s="1238">
        <v>54463</v>
      </c>
      <c r="AQ54" s="1323">
        <v>61166</v>
      </c>
      <c r="AR54" s="1323">
        <v>57415</v>
      </c>
      <c r="AS54" s="1276">
        <v>76083</v>
      </c>
      <c r="AT54" s="1530">
        <v>75876</v>
      </c>
      <c r="AU54" s="1276">
        <v>68831</v>
      </c>
      <c r="AV54" s="1276">
        <v>55626</v>
      </c>
      <c r="AW54" s="1453">
        <v>72286</v>
      </c>
      <c r="AX54" s="1274"/>
      <c r="AY54" s="1545">
        <v>138359</v>
      </c>
      <c r="AZ54" s="1281">
        <v>125551</v>
      </c>
      <c r="BA54" s="2132">
        <v>12808</v>
      </c>
      <c r="BB54" s="1253">
        <v>0.10201432087358922</v>
      </c>
      <c r="BC54" s="1235"/>
      <c r="BD54" s="1935">
        <v>138359</v>
      </c>
      <c r="BE54" s="1935">
        <v>125551</v>
      </c>
      <c r="BF54" s="1935">
        <v>113046</v>
      </c>
      <c r="BG54" s="1327">
        <v>91757</v>
      </c>
      <c r="BH54" s="1327">
        <v>1987</v>
      </c>
      <c r="BI54" s="2133"/>
      <c r="BJ54" s="2133"/>
      <c r="BK54" s="2133"/>
      <c r="BL54" s="2133"/>
      <c r="BM54" s="1530">
        <v>272619</v>
      </c>
      <c r="BN54" s="1530">
        <v>225194</v>
      </c>
      <c r="BO54" s="1530">
        <v>178176</v>
      </c>
      <c r="BP54" s="1530">
        <v>175983</v>
      </c>
      <c r="BQ54" s="1230"/>
      <c r="BS54" s="1226"/>
      <c r="BV54" s="1181"/>
    </row>
    <row r="55" spans="1:74" ht="12.75" customHeight="1" x14ac:dyDescent="0.2">
      <c r="A55" s="1235"/>
      <c r="B55" s="1251" t="s">
        <v>82</v>
      </c>
      <c r="C55" s="1252">
        <v>-787</v>
      </c>
      <c r="D55" s="975">
        <v>-2.8764619883040937E-2</v>
      </c>
      <c r="E55" s="949"/>
      <c r="F55" s="1206">
        <v>0</v>
      </c>
      <c r="G55" s="1206">
        <v>0</v>
      </c>
      <c r="H55" s="1206">
        <v>0</v>
      </c>
      <c r="I55" s="2314">
        <v>26573</v>
      </c>
      <c r="J55" s="1310">
        <v>29595</v>
      </c>
      <c r="K55" s="1310">
        <v>27902</v>
      </c>
      <c r="L55" s="1310">
        <v>27431</v>
      </c>
      <c r="M55" s="1528">
        <v>27360</v>
      </c>
      <c r="N55" s="1310">
        <v>27529</v>
      </c>
      <c r="O55" s="1310">
        <v>24292</v>
      </c>
      <c r="P55" s="1310">
        <v>24034</v>
      </c>
      <c r="Q55" s="1528">
        <v>23923</v>
      </c>
      <c r="R55" s="1310">
        <v>24462</v>
      </c>
      <c r="S55" s="1310">
        <v>21341</v>
      </c>
      <c r="T55" s="1310">
        <v>20391</v>
      </c>
      <c r="U55" s="1528">
        <v>20237</v>
      </c>
      <c r="V55" s="1310">
        <v>18686</v>
      </c>
      <c r="W55" s="1310">
        <v>20629</v>
      </c>
      <c r="X55" s="1310">
        <v>15875</v>
      </c>
      <c r="Y55" s="1528">
        <v>16562</v>
      </c>
      <c r="Z55" s="1310">
        <v>1649</v>
      </c>
      <c r="AA55" s="2128"/>
      <c r="AB55" s="2128"/>
      <c r="AC55" s="2131"/>
      <c r="AD55" s="2128"/>
      <c r="AE55" s="2128"/>
      <c r="AF55" s="2128"/>
      <c r="AG55" s="2128"/>
      <c r="AH55" s="1310">
        <v>46835</v>
      </c>
      <c r="AI55" s="1310">
        <v>42047</v>
      </c>
      <c r="AJ55" s="1310">
        <v>35213</v>
      </c>
      <c r="AK55" s="1528">
        <v>35168</v>
      </c>
      <c r="AL55" s="1310">
        <v>28967</v>
      </c>
      <c r="AM55" s="1310">
        <v>34689</v>
      </c>
      <c r="AN55" s="1310">
        <v>35911</v>
      </c>
      <c r="AO55" s="1528">
        <v>44683</v>
      </c>
      <c r="AP55" s="1238">
        <v>43703</v>
      </c>
      <c r="AQ55" s="1323">
        <v>48132</v>
      </c>
      <c r="AR55" s="1323">
        <v>44039</v>
      </c>
      <c r="AS55" s="1276">
        <v>57148</v>
      </c>
      <c r="AT55" s="1282">
        <v>55349</v>
      </c>
      <c r="AU55" s="1276">
        <v>50178</v>
      </c>
      <c r="AV55" s="1276">
        <v>41346</v>
      </c>
      <c r="AW55" s="1276">
        <v>55217</v>
      </c>
      <c r="AX55" s="1274"/>
      <c r="AY55" s="1280">
        <v>112288</v>
      </c>
      <c r="AZ55" s="1281">
        <v>99778</v>
      </c>
      <c r="BA55" s="1025">
        <v>12510</v>
      </c>
      <c r="BB55" s="1056">
        <v>0.12537833991461045</v>
      </c>
      <c r="BC55" s="1235"/>
      <c r="BD55" s="1935">
        <v>112288</v>
      </c>
      <c r="BE55" s="1935">
        <v>99778</v>
      </c>
      <c r="BF55" s="1935">
        <v>86431</v>
      </c>
      <c r="BG55" s="1327">
        <v>71752</v>
      </c>
      <c r="BH55" s="1327">
        <v>1649</v>
      </c>
      <c r="BI55" s="2133"/>
      <c r="BJ55" s="2133"/>
      <c r="BK55" s="2133"/>
      <c r="BL55" s="2133"/>
      <c r="BM55" s="1282">
        <v>202090</v>
      </c>
      <c r="BN55" s="1282">
        <v>163976</v>
      </c>
      <c r="BO55" s="1282">
        <v>127504</v>
      </c>
      <c r="BP55" s="1282">
        <v>118638</v>
      </c>
      <c r="BQ55" s="1230"/>
      <c r="BS55" s="1226"/>
      <c r="BV55" s="1181"/>
    </row>
    <row r="56" spans="1:74" x14ac:dyDescent="0.2">
      <c r="A56" s="1235"/>
      <c r="B56" s="1423" t="s">
        <v>211</v>
      </c>
      <c r="C56" s="1252">
        <v>-333</v>
      </c>
      <c r="D56" s="975">
        <v>-4.7523904666761811E-2</v>
      </c>
      <c r="E56" s="949"/>
      <c r="F56" s="1206">
        <v>0</v>
      </c>
      <c r="G56" s="1206">
        <v>0</v>
      </c>
      <c r="H56" s="1206">
        <v>0</v>
      </c>
      <c r="I56" s="2314">
        <v>6674</v>
      </c>
      <c r="J56" s="1310">
        <v>5318</v>
      </c>
      <c r="K56" s="1310">
        <v>7138</v>
      </c>
      <c r="L56" s="1310">
        <v>6608</v>
      </c>
      <c r="M56" s="1528">
        <v>7007</v>
      </c>
      <c r="N56" s="1310">
        <v>8143</v>
      </c>
      <c r="O56" s="1310">
        <v>5673</v>
      </c>
      <c r="P56" s="1310">
        <v>5752</v>
      </c>
      <c r="Q56" s="1528">
        <v>6205</v>
      </c>
      <c r="R56" s="1310">
        <v>8758</v>
      </c>
      <c r="S56" s="1310">
        <v>5677</v>
      </c>
      <c r="T56" s="1310">
        <v>5439</v>
      </c>
      <c r="U56" s="1528">
        <v>6741</v>
      </c>
      <c r="V56" s="1310">
        <v>8020</v>
      </c>
      <c r="W56" s="1310">
        <v>4163</v>
      </c>
      <c r="X56" s="1310">
        <v>4797</v>
      </c>
      <c r="Y56" s="1528">
        <v>3025</v>
      </c>
      <c r="Z56" s="1310">
        <v>338</v>
      </c>
      <c r="AA56" s="2128"/>
      <c r="AB56" s="2128"/>
      <c r="AC56" s="2131"/>
      <c r="AD56" s="2128"/>
      <c r="AE56" s="2128"/>
      <c r="AF56" s="2128"/>
      <c r="AG56" s="2128"/>
      <c r="AH56" s="1310">
        <v>8155</v>
      </c>
      <c r="AI56" s="1310">
        <v>9686</v>
      </c>
      <c r="AJ56" s="1310">
        <v>4925</v>
      </c>
      <c r="AK56" s="1528">
        <v>5017</v>
      </c>
      <c r="AL56" s="1310">
        <v>8288</v>
      </c>
      <c r="AM56" s="1310">
        <v>-1157</v>
      </c>
      <c r="AN56" s="1310">
        <v>7933</v>
      </c>
      <c r="AO56" s="1528">
        <v>13170</v>
      </c>
      <c r="AP56" s="1238">
        <v>10760</v>
      </c>
      <c r="AQ56" s="1323">
        <v>13034</v>
      </c>
      <c r="AR56" s="1323">
        <v>13376</v>
      </c>
      <c r="AS56" s="1276">
        <v>18935</v>
      </c>
      <c r="AT56" s="1282">
        <v>20527</v>
      </c>
      <c r="AU56" s="1276">
        <v>18653</v>
      </c>
      <c r="AV56" s="1276">
        <v>14280</v>
      </c>
      <c r="AW56" s="1276">
        <v>17069</v>
      </c>
      <c r="AX56" s="1274"/>
      <c r="AY56" s="1280">
        <v>26071</v>
      </c>
      <c r="AZ56" s="1281">
        <v>25773</v>
      </c>
      <c r="BA56" s="1025">
        <v>298</v>
      </c>
      <c r="BB56" s="1056">
        <v>1.1562487874907849E-2</v>
      </c>
      <c r="BC56" s="1235"/>
      <c r="BD56" s="1327">
        <v>26071</v>
      </c>
      <c r="BE56" s="1935">
        <v>25773</v>
      </c>
      <c r="BF56" s="1935">
        <v>26615</v>
      </c>
      <c r="BG56" s="1327">
        <v>20005</v>
      </c>
      <c r="BH56" s="1327">
        <v>338</v>
      </c>
      <c r="BI56" s="2133"/>
      <c r="BJ56" s="2133"/>
      <c r="BK56" s="2133"/>
      <c r="BL56" s="2133"/>
      <c r="BM56" s="1282">
        <v>70529</v>
      </c>
      <c r="BN56" s="1282">
        <v>61218</v>
      </c>
      <c r="BO56" s="1282">
        <v>50672</v>
      </c>
      <c r="BP56" s="1282">
        <v>57345</v>
      </c>
      <c r="BQ56" s="1230"/>
      <c r="BS56" s="1226"/>
      <c r="BV56" s="1181"/>
    </row>
    <row r="57" spans="1:74" x14ac:dyDescent="0.2">
      <c r="A57" s="1235"/>
      <c r="B57" s="1423" t="s">
        <v>210</v>
      </c>
      <c r="C57" s="1254">
        <v>-56</v>
      </c>
      <c r="D57" s="1234">
        <v>-8.7363494539781598E-3</v>
      </c>
      <c r="E57" s="949"/>
      <c r="F57" s="1222">
        <v>0</v>
      </c>
      <c r="G57" s="1222">
        <v>0</v>
      </c>
      <c r="H57" s="1222">
        <v>0</v>
      </c>
      <c r="I57" s="2315">
        <v>6354</v>
      </c>
      <c r="J57" s="1374">
        <v>4981</v>
      </c>
      <c r="K57" s="1374">
        <v>6516</v>
      </c>
      <c r="L57" s="1374">
        <v>5974</v>
      </c>
      <c r="M57" s="1531">
        <v>6410</v>
      </c>
      <c r="N57" s="1374">
        <v>7099</v>
      </c>
      <c r="O57" s="1374">
        <v>4737</v>
      </c>
      <c r="P57" s="1374">
        <v>4647</v>
      </c>
      <c r="Q57" s="1531">
        <v>5090</v>
      </c>
      <c r="R57" s="1374">
        <v>6399</v>
      </c>
      <c r="S57" s="1374">
        <v>3502</v>
      </c>
      <c r="T57" s="1374">
        <v>3559</v>
      </c>
      <c r="U57" s="1531">
        <v>5108</v>
      </c>
      <c r="V57" s="1374">
        <v>6251</v>
      </c>
      <c r="W57" s="1374">
        <v>2420</v>
      </c>
      <c r="X57" s="1374">
        <v>2783</v>
      </c>
      <c r="Y57" s="1373">
        <v>1815</v>
      </c>
      <c r="Z57" s="1374">
        <v>338</v>
      </c>
      <c r="AA57" s="2134"/>
      <c r="AB57" s="2134"/>
      <c r="AC57" s="2135"/>
      <c r="AD57" s="2134"/>
      <c r="AE57" s="2134"/>
      <c r="AF57" s="2134"/>
      <c r="AG57" s="2135"/>
      <c r="AH57" s="1374"/>
      <c r="AI57" s="1374"/>
      <c r="AJ57" s="1374"/>
      <c r="AK57" s="1531"/>
      <c r="AL57" s="1374"/>
      <c r="AM57" s="1374"/>
      <c r="AN57" s="1374"/>
      <c r="AO57" s="1531"/>
      <c r="AP57" s="1534"/>
      <c r="AQ57" s="1533"/>
      <c r="AR57" s="1533"/>
      <c r="AS57" s="1299"/>
      <c r="AT57" s="1305"/>
      <c r="AU57" s="1299"/>
      <c r="AV57" s="1299"/>
      <c r="AW57" s="1299"/>
      <c r="AX57" s="1274"/>
      <c r="AY57" s="1374">
        <v>23881</v>
      </c>
      <c r="AZ57" s="1382">
        <v>21573</v>
      </c>
      <c r="BA57" s="1374">
        <v>2308</v>
      </c>
      <c r="BB57" s="1234">
        <v>0.1069855838316414</v>
      </c>
      <c r="BC57" s="1235"/>
      <c r="BD57" s="1380">
        <v>23881</v>
      </c>
      <c r="BE57" s="2067">
        <v>21573</v>
      </c>
      <c r="BF57" s="2067">
        <v>18568</v>
      </c>
      <c r="BG57" s="1535">
        <v>13269</v>
      </c>
      <c r="BH57" s="1535">
        <v>338</v>
      </c>
      <c r="BI57" s="2136"/>
      <c r="BJ57" s="2136"/>
      <c r="BK57" s="2136"/>
      <c r="BL57" s="2136"/>
      <c r="BM57" s="1305"/>
      <c r="BN57" s="1305"/>
      <c r="BO57" s="1305"/>
      <c r="BP57" s="1305"/>
      <c r="BQ57" s="1230"/>
      <c r="BS57" s="1226"/>
      <c r="BV57" s="1181"/>
    </row>
    <row r="58" spans="1:74" ht="12.75" customHeight="1" x14ac:dyDescent="0.2">
      <c r="A58" s="1235"/>
      <c r="B58" s="1251"/>
      <c r="C58" s="1026"/>
      <c r="D58" s="981"/>
      <c r="E58" s="945"/>
      <c r="F58" s="945"/>
      <c r="G58" s="945"/>
      <c r="H58" s="945"/>
      <c r="I58" s="1188"/>
      <c r="J58" s="981"/>
      <c r="K58" s="981"/>
      <c r="L58" s="981"/>
      <c r="M58" s="1251"/>
      <c r="N58" s="981"/>
      <c r="O58" s="981"/>
      <c r="P58" s="981"/>
      <c r="Q58" s="1251"/>
      <c r="R58" s="981"/>
      <c r="S58" s="981"/>
      <c r="T58" s="981"/>
      <c r="U58" s="1251"/>
      <c r="V58" s="981"/>
      <c r="W58" s="981"/>
      <c r="X58" s="981"/>
      <c r="Y58" s="1251"/>
      <c r="Z58" s="1322"/>
      <c r="AA58" s="981"/>
      <c r="AB58" s="981"/>
      <c r="AC58" s="1251"/>
      <c r="AD58" s="981"/>
      <c r="AE58" s="981"/>
      <c r="AF58" s="981"/>
      <c r="AG58" s="1251"/>
      <c r="AH58" s="981"/>
      <c r="AI58" s="981"/>
      <c r="AJ58" s="981"/>
      <c r="AK58" s="1251"/>
      <c r="AL58" s="981"/>
      <c r="AM58" s="981"/>
      <c r="AN58" s="981"/>
      <c r="AO58" s="1251"/>
      <c r="AP58" s="1235"/>
      <c r="AQ58" s="1235"/>
      <c r="AR58" s="1235"/>
      <c r="AS58" s="1235"/>
      <c r="AT58" s="1235"/>
      <c r="AU58" s="1235"/>
      <c r="AV58" s="1235"/>
      <c r="AW58" s="1235"/>
      <c r="AX58" s="1251"/>
      <c r="AY58" s="1251"/>
      <c r="AZ58" s="1281"/>
      <c r="BA58" s="1026"/>
      <c r="BB58" s="981"/>
      <c r="BC58" s="1251"/>
      <c r="BD58" s="1251"/>
      <c r="BE58" s="1251"/>
      <c r="BF58" s="1251"/>
      <c r="BG58" s="1251"/>
      <c r="BH58" s="1251"/>
      <c r="BI58" s="1251"/>
      <c r="BJ58" s="1251"/>
      <c r="BK58" s="1251"/>
      <c r="BL58" s="1235"/>
      <c r="BM58" s="1235"/>
      <c r="BN58" s="1025"/>
      <c r="BO58" s="1025"/>
      <c r="BP58" s="1025"/>
      <c r="BQ58" s="1251"/>
      <c r="BS58" s="1226"/>
      <c r="BV58" s="1181"/>
    </row>
    <row r="59" spans="1:74" ht="12.75" customHeight="1" x14ac:dyDescent="0.2">
      <c r="A59" s="1235"/>
      <c r="B59" s="1246" t="s">
        <v>77</v>
      </c>
      <c r="C59" s="2010">
        <v>-1.8797634866068502</v>
      </c>
      <c r="D59" s="981"/>
      <c r="E59" s="945"/>
      <c r="F59" s="945" t="e">
        <v>#DIV/0!</v>
      </c>
      <c r="G59" s="945" t="e">
        <v>#DIV/0!</v>
      </c>
      <c r="H59" s="945" t="e">
        <v>#DIV/0!</v>
      </c>
      <c r="I59" s="945">
        <v>0.25623364514091496</v>
      </c>
      <c r="J59" s="981">
        <v>0.29424569644545012</v>
      </c>
      <c r="K59" s="981">
        <v>0.27083333333333331</v>
      </c>
      <c r="L59" s="981">
        <v>0.27829842239783775</v>
      </c>
      <c r="M59" s="981">
        <v>0.27503128000698346</v>
      </c>
      <c r="N59" s="981">
        <v>0.27164162368243999</v>
      </c>
      <c r="O59" s="981">
        <v>0.29384281661938927</v>
      </c>
      <c r="P59" s="981">
        <v>0.29530651984153627</v>
      </c>
      <c r="Q59" s="981">
        <v>0.28236192246415293</v>
      </c>
      <c r="R59" s="981">
        <v>0.25424443106562311</v>
      </c>
      <c r="S59" s="981">
        <v>0.30520393811533053</v>
      </c>
      <c r="T59" s="981">
        <v>0.29810298102981031</v>
      </c>
      <c r="U59" s="981">
        <v>0.26851508636666915</v>
      </c>
      <c r="V59" s="981">
        <v>0.26623230734666364</v>
      </c>
      <c r="W59" s="981">
        <v>0.33696353662471767</v>
      </c>
      <c r="X59" s="981">
        <v>0.26620549535603716</v>
      </c>
      <c r="Y59" s="981">
        <v>0.37106243937305355</v>
      </c>
      <c r="Z59" s="981">
        <v>0.25364871665827882</v>
      </c>
      <c r="AA59" s="2125"/>
      <c r="AB59" s="2125"/>
      <c r="AC59" s="2125"/>
      <c r="AD59" s="2125"/>
      <c r="AE59" s="2125"/>
      <c r="AF59" s="2125"/>
      <c r="AG59" s="2125"/>
      <c r="AH59" s="981">
        <v>0.27384979087106748</v>
      </c>
      <c r="AI59" s="981">
        <v>0.26397077300755806</v>
      </c>
      <c r="AJ59" s="981">
        <v>0.28613782450545616</v>
      </c>
      <c r="AK59" s="981">
        <v>0.3055617767823815</v>
      </c>
      <c r="AL59" s="981">
        <v>0.30438867266138775</v>
      </c>
      <c r="AM59" s="981">
        <v>0.52001073601336034</v>
      </c>
      <c r="AN59" s="981">
        <v>0.28095064318949003</v>
      </c>
      <c r="AO59" s="981">
        <v>0.24116294747031269</v>
      </c>
      <c r="AP59" s="1057">
        <v>0.27273561867689994</v>
      </c>
      <c r="AQ59" s="1057">
        <v>0.26800000000000002</v>
      </c>
      <c r="AR59" s="1057">
        <v>0.26400000000000001</v>
      </c>
      <c r="AS59" s="1057">
        <v>0.20299999999999996</v>
      </c>
      <c r="AT59" s="1057">
        <v>0.19</v>
      </c>
      <c r="AU59" s="1057">
        <v>0.22199999999999998</v>
      </c>
      <c r="AV59" s="1057">
        <v>0.24399999999999999</v>
      </c>
      <c r="AW59" s="1057">
        <v>0.255</v>
      </c>
      <c r="AX59" s="1251"/>
      <c r="AY59" s="981">
        <v>0.27962040777976133</v>
      </c>
      <c r="AZ59" s="981">
        <v>0.2851271594810077</v>
      </c>
      <c r="BA59" s="2010">
        <v>-0.55067517012463707</v>
      </c>
      <c r="BB59" s="981"/>
      <c r="BC59" s="1251"/>
      <c r="BD59" s="981">
        <v>0.27962040777976133</v>
      </c>
      <c r="BE59" s="981">
        <v>0.2851271594810077</v>
      </c>
      <c r="BF59" s="981">
        <v>0.27985068025405585</v>
      </c>
      <c r="BG59" s="981">
        <v>0.29683838835184234</v>
      </c>
      <c r="BH59" s="981">
        <v>0.25364871665827882</v>
      </c>
      <c r="BI59" s="2125"/>
      <c r="BJ59" s="2125"/>
      <c r="BK59" s="2125"/>
      <c r="BL59" s="2125"/>
      <c r="BM59" s="1057">
        <v>0.22599999999999998</v>
      </c>
      <c r="BN59" s="1352">
        <v>0.20299999999999996</v>
      </c>
      <c r="BO59" s="1352">
        <v>0.18</v>
      </c>
      <c r="BP59" s="1352">
        <v>0.14600000000000002</v>
      </c>
      <c r="BQ59" s="1251"/>
      <c r="BS59" s="1226"/>
      <c r="BV59" s="1181"/>
    </row>
    <row r="60" spans="1:74" ht="12.75" customHeight="1" x14ac:dyDescent="0.2">
      <c r="A60" s="1235"/>
      <c r="B60" s="1246" t="s">
        <v>78</v>
      </c>
      <c r="C60" s="2010">
        <v>0.31475337867883368</v>
      </c>
      <c r="D60" s="981"/>
      <c r="E60" s="945"/>
      <c r="F60" s="945" t="e">
        <v>#DIV/0!</v>
      </c>
      <c r="G60" s="945" t="e">
        <v>#DIV/0!</v>
      </c>
      <c r="H60" s="945" t="e">
        <v>#DIV/0!</v>
      </c>
      <c r="I60" s="945">
        <v>0.79926008361656686</v>
      </c>
      <c r="J60" s="981">
        <v>0.84767851516627046</v>
      </c>
      <c r="K60" s="981">
        <v>0.79628995433789951</v>
      </c>
      <c r="L60" s="981">
        <v>0.8058697376538676</v>
      </c>
      <c r="M60" s="981">
        <v>0.79611254982977853</v>
      </c>
      <c r="N60" s="981">
        <v>0.77172572325633548</v>
      </c>
      <c r="O60" s="981">
        <v>0.81067912564658773</v>
      </c>
      <c r="P60" s="981">
        <v>0.8068891425501914</v>
      </c>
      <c r="Q60" s="981">
        <v>0.79404540626659581</v>
      </c>
      <c r="R60" s="981">
        <v>0.73636363636363633</v>
      </c>
      <c r="S60" s="981">
        <v>0.78988082019394479</v>
      </c>
      <c r="T60" s="981">
        <v>0.78943089430894309</v>
      </c>
      <c r="U60" s="981">
        <v>0.75012973533990657</v>
      </c>
      <c r="V60" s="981">
        <v>0.69969295289448064</v>
      </c>
      <c r="W60" s="981">
        <v>0.83208292997741207</v>
      </c>
      <c r="X60" s="981">
        <v>0.76794698142414863</v>
      </c>
      <c r="Y60" s="981">
        <v>0.84556083116352687</v>
      </c>
      <c r="Z60" s="981">
        <v>0.82989431303472572</v>
      </c>
      <c r="AA60" s="2125"/>
      <c r="AB60" s="2125"/>
      <c r="AC60" s="2125"/>
      <c r="AD60" s="2125"/>
      <c r="AE60" s="2125"/>
      <c r="AF60" s="2125"/>
      <c r="AG60" s="2125"/>
      <c r="AH60" s="981">
        <v>0.8517003091471177</v>
      </c>
      <c r="AI60" s="981">
        <v>0.81276941217404752</v>
      </c>
      <c r="AJ60" s="981">
        <v>0.8772983207932632</v>
      </c>
      <c r="AK60" s="981">
        <v>0.87515242005723526</v>
      </c>
      <c r="AL60" s="981">
        <v>0.77753321701784994</v>
      </c>
      <c r="AM60" s="981">
        <v>1.0345043540498629</v>
      </c>
      <c r="AN60" s="981">
        <v>0.81906304169327615</v>
      </c>
      <c r="AO60" s="981">
        <v>0.77235406979759047</v>
      </c>
      <c r="AP60" s="1057">
        <v>0.8024346804252428</v>
      </c>
      <c r="AQ60" s="1057">
        <v>0.78700000000000003</v>
      </c>
      <c r="AR60" s="1057">
        <v>0.76700000000000002</v>
      </c>
      <c r="AS60" s="1057">
        <v>0.751</v>
      </c>
      <c r="AT60" s="1057">
        <v>0.72899999999999998</v>
      </c>
      <c r="AU60" s="1057">
        <v>0.72899999999999998</v>
      </c>
      <c r="AV60" s="1057">
        <v>0.74299999999999999</v>
      </c>
      <c r="AW60" s="1057">
        <v>0.76400000000000001</v>
      </c>
      <c r="AX60" s="1251"/>
      <c r="AY60" s="981">
        <v>0.81156990148815766</v>
      </c>
      <c r="AZ60" s="981">
        <v>0.79472087040326245</v>
      </c>
      <c r="BA60" s="2010">
        <v>1.6849031084895216</v>
      </c>
      <c r="BB60" s="981"/>
      <c r="BC60" s="1251"/>
      <c r="BD60" s="981">
        <v>0.81156990148815766</v>
      </c>
      <c r="BE60" s="981">
        <v>0.79472087040326245</v>
      </c>
      <c r="BF60" s="981">
        <v>0.76456486739911189</v>
      </c>
      <c r="BG60" s="981">
        <v>0.78197848665496905</v>
      </c>
      <c r="BH60" s="981">
        <v>0.82989431303472572</v>
      </c>
      <c r="BI60" s="2125"/>
      <c r="BJ60" s="2125"/>
      <c r="BK60" s="2125"/>
      <c r="BL60" s="2125"/>
      <c r="BM60" s="1057">
        <v>0.74099999999999999</v>
      </c>
      <c r="BN60" s="1352">
        <v>0.72799999999999998</v>
      </c>
      <c r="BO60" s="1352">
        <v>0.71599999999999997</v>
      </c>
      <c r="BP60" s="1352">
        <v>0.67400000000000004</v>
      </c>
      <c r="BQ60" s="1251"/>
      <c r="BS60" s="1226"/>
      <c r="BV60" s="1181"/>
    </row>
    <row r="61" spans="1:74" ht="12.75" customHeight="1" x14ac:dyDescent="0.2">
      <c r="A61" s="1235"/>
      <c r="B61" s="1246" t="s">
        <v>178</v>
      </c>
      <c r="C61" s="2010">
        <v>-0.31475337867883646</v>
      </c>
      <c r="D61" s="981"/>
      <c r="E61" s="945"/>
      <c r="F61" s="945" t="e">
        <v>#DIV/0!</v>
      </c>
      <c r="G61" s="945" t="e">
        <v>#DIV/0!</v>
      </c>
      <c r="H61" s="945" t="e">
        <v>#DIV/0!</v>
      </c>
      <c r="I61" s="945">
        <v>0.20073991638343308</v>
      </c>
      <c r="J61" s="981">
        <v>0.15232148483372956</v>
      </c>
      <c r="K61" s="981">
        <v>0.20371004566210046</v>
      </c>
      <c r="L61" s="981">
        <v>0.19413026234613237</v>
      </c>
      <c r="M61" s="981">
        <v>0.20388745017022145</v>
      </c>
      <c r="N61" s="981">
        <v>0.22827427674366449</v>
      </c>
      <c r="O61" s="981">
        <v>0.18932087435341233</v>
      </c>
      <c r="P61" s="981">
        <v>0.19311085744980863</v>
      </c>
      <c r="Q61" s="981">
        <v>0.20595459373340413</v>
      </c>
      <c r="R61" s="981">
        <v>0.26363636363636361</v>
      </c>
      <c r="S61" s="981">
        <v>0.21011917980605521</v>
      </c>
      <c r="T61" s="981">
        <v>0.21056910569105691</v>
      </c>
      <c r="U61" s="981">
        <v>0.24987026466009341</v>
      </c>
      <c r="V61" s="981">
        <v>0.30030704710551936</v>
      </c>
      <c r="W61" s="981">
        <v>0.16791707002258793</v>
      </c>
      <c r="X61" s="981">
        <v>0.23205301857585139</v>
      </c>
      <c r="Y61" s="981">
        <v>0.15443916883647318</v>
      </c>
      <c r="Z61" s="981">
        <v>0.17010568696527428</v>
      </c>
      <c r="AA61" s="2125"/>
      <c r="AB61" s="2125"/>
      <c r="AC61" s="2125"/>
      <c r="AD61" s="2125"/>
      <c r="AE61" s="2125"/>
      <c r="AF61" s="2125"/>
      <c r="AG61" s="2125"/>
      <c r="AH61" s="981">
        <v>0.14829969085288233</v>
      </c>
      <c r="AI61" s="981">
        <v>0.18723058782595248</v>
      </c>
      <c r="AJ61" s="981">
        <v>0.12270167920673676</v>
      </c>
      <c r="AK61" s="981">
        <v>0.12484757994276471</v>
      </c>
      <c r="AL61" s="981">
        <v>0.22246678298215006</v>
      </c>
      <c r="AM61" s="981">
        <v>-3.4504354049862816E-2</v>
      </c>
      <c r="AN61" s="981">
        <v>0.18093695830672385</v>
      </c>
      <c r="AO61" s="981">
        <v>0.22764593020240956</v>
      </c>
      <c r="AP61" s="1057">
        <v>0.19756531957475718</v>
      </c>
      <c r="AQ61" s="1057">
        <v>0.21299999999999997</v>
      </c>
      <c r="AR61" s="1057">
        <v>0.23299999999999998</v>
      </c>
      <c r="AS61" s="1057">
        <v>0.249</v>
      </c>
      <c r="AT61" s="1057">
        <v>0.27100000000000002</v>
      </c>
      <c r="AU61" s="1057">
        <v>0.27100000000000002</v>
      </c>
      <c r="AV61" s="1057">
        <v>0.25700000000000001</v>
      </c>
      <c r="AW61" s="1057">
        <v>0.23599999999999999</v>
      </c>
      <c r="AX61" s="1251"/>
      <c r="AY61" s="981">
        <v>0.18843009851184239</v>
      </c>
      <c r="AZ61" s="981">
        <v>0.20527912959673758</v>
      </c>
      <c r="BA61" s="2010">
        <v>-1.684903108489519</v>
      </c>
      <c r="BB61" s="981"/>
      <c r="BC61" s="1251"/>
      <c r="BD61" s="981">
        <v>0.18843009851184239</v>
      </c>
      <c r="BE61" s="981">
        <v>0.20527912959673758</v>
      </c>
      <c r="BF61" s="981">
        <v>0.23543513260088814</v>
      </c>
      <c r="BG61" s="981">
        <v>0.21802151334503089</v>
      </c>
      <c r="BH61" s="981">
        <v>0.17010568696527428</v>
      </c>
      <c r="BI61" s="2125"/>
      <c r="BJ61" s="2125"/>
      <c r="BK61" s="2125"/>
      <c r="BL61" s="2125"/>
      <c r="BM61" s="1057">
        <v>0.25900000000000001</v>
      </c>
      <c r="BN61" s="1352">
        <v>0.27200000000000002</v>
      </c>
      <c r="BO61" s="1352">
        <v>0.28400000000000003</v>
      </c>
      <c r="BP61" s="1352">
        <v>0.32599999999999996</v>
      </c>
      <c r="BQ61" s="1251"/>
      <c r="BS61" s="1226"/>
    </row>
    <row r="62" spans="1:74" ht="12.75" customHeight="1" x14ac:dyDescent="0.2">
      <c r="A62" s="1235"/>
      <c r="B62" s="1246"/>
      <c r="C62" s="2010"/>
      <c r="D62" s="981"/>
      <c r="E62" s="945"/>
      <c r="F62" s="945"/>
      <c r="G62" s="945"/>
      <c r="H62" s="945"/>
      <c r="I62" s="945"/>
      <c r="J62" s="981"/>
      <c r="K62" s="981"/>
      <c r="L62" s="981"/>
      <c r="M62" s="981"/>
      <c r="N62" s="981"/>
      <c r="O62" s="981"/>
      <c r="P62" s="981"/>
      <c r="Q62" s="981"/>
      <c r="R62" s="981"/>
      <c r="S62" s="981"/>
      <c r="T62" s="981"/>
      <c r="U62" s="981"/>
      <c r="V62" s="981"/>
      <c r="W62" s="981"/>
      <c r="X62" s="981"/>
      <c r="Y62" s="981"/>
      <c r="AB62" s="981"/>
      <c r="AC62" s="981"/>
      <c r="AD62" s="981"/>
      <c r="AE62" s="981"/>
      <c r="AF62" s="981"/>
      <c r="AG62" s="981"/>
      <c r="AH62" s="981"/>
      <c r="AI62" s="981"/>
      <c r="AJ62" s="981"/>
      <c r="AK62" s="981"/>
      <c r="AL62" s="981"/>
      <c r="AM62" s="981"/>
      <c r="AN62" s="981"/>
      <c r="AO62" s="981"/>
      <c r="AP62" s="1057"/>
      <c r="AQ62" s="1057"/>
      <c r="AR62" s="1057"/>
      <c r="AS62" s="1057"/>
      <c r="AT62" s="1057"/>
      <c r="AU62" s="1057"/>
      <c r="AV62" s="1057"/>
      <c r="AW62" s="1057"/>
      <c r="AX62" s="1251"/>
      <c r="AY62" s="1251"/>
      <c r="AZ62" s="1251"/>
      <c r="BA62" s="2010"/>
      <c r="BB62" s="981"/>
      <c r="BC62" s="1251"/>
      <c r="BD62" s="1057"/>
      <c r="BE62" s="1057"/>
      <c r="BF62" s="1057"/>
      <c r="BG62" s="1057"/>
      <c r="BH62" s="1057"/>
      <c r="BI62" s="1057"/>
      <c r="BJ62" s="1057"/>
      <c r="BK62" s="1057"/>
      <c r="BL62" s="1057"/>
      <c r="BM62" s="1057"/>
      <c r="BN62" s="1352"/>
      <c r="BO62" s="1352"/>
      <c r="BP62" s="1352"/>
      <c r="BQ62" s="1251"/>
      <c r="BS62" s="1226"/>
    </row>
    <row r="63" spans="1:74" ht="12.75" customHeight="1" x14ac:dyDescent="0.2">
      <c r="A63" s="1428" t="s">
        <v>190</v>
      </c>
      <c r="B63" s="1246"/>
      <c r="C63" s="1251"/>
      <c r="D63" s="1251"/>
      <c r="E63" s="1188"/>
      <c r="F63" s="1188"/>
      <c r="G63" s="1188"/>
      <c r="H63" s="1188"/>
      <c r="I63" s="1188"/>
      <c r="J63" s="1251"/>
      <c r="K63" s="1251"/>
      <c r="L63" s="1251"/>
      <c r="M63" s="1251"/>
      <c r="N63" s="1251"/>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969"/>
      <c r="AT63" s="1251"/>
      <c r="AU63" s="969"/>
      <c r="AV63" s="969"/>
      <c r="AW63" s="1251"/>
      <c r="AX63" s="1251"/>
      <c r="AY63" s="1251"/>
      <c r="AZ63" s="1251"/>
      <c r="BA63" s="1251"/>
      <c r="BB63" s="1251"/>
      <c r="BC63" s="1251"/>
      <c r="BD63" s="1251"/>
      <c r="BE63" s="1251"/>
      <c r="BF63" s="1251"/>
      <c r="BG63" s="1251"/>
      <c r="BH63" s="1251"/>
      <c r="BI63" s="1251"/>
      <c r="BJ63" s="1251"/>
      <c r="BK63" s="1251"/>
      <c r="BL63" s="1251"/>
      <c r="BM63" s="1251"/>
      <c r="BN63" s="1025"/>
      <c r="BO63" s="1352"/>
      <c r="BP63" s="1352"/>
      <c r="BQ63" s="1251"/>
      <c r="BS63" s="1226"/>
    </row>
    <row r="64" spans="1:74" ht="12.75" customHeight="1" x14ac:dyDescent="0.2">
      <c r="C64" s="2455" t="s">
        <v>456</v>
      </c>
      <c r="D64" s="2456"/>
      <c r="E64" s="919"/>
      <c r="F64" s="921"/>
      <c r="G64" s="921"/>
      <c r="H64" s="921"/>
      <c r="I64" s="2280"/>
      <c r="J64" s="1000"/>
      <c r="K64" s="1000"/>
      <c r="L64" s="1000"/>
      <c r="M64" s="1261"/>
      <c r="N64" s="1000"/>
      <c r="O64" s="1000"/>
      <c r="P64" s="1000"/>
      <c r="Q64" s="1261"/>
      <c r="R64" s="1000"/>
      <c r="S64" s="1000"/>
      <c r="T64" s="1000"/>
      <c r="U64" s="1261"/>
      <c r="V64" s="1000"/>
      <c r="W64" s="1000"/>
      <c r="X64" s="1000"/>
      <c r="Y64" s="1261"/>
      <c r="Z64" s="1262"/>
      <c r="AA64" s="1263"/>
      <c r="AB64" s="1000"/>
      <c r="AC64" s="1261"/>
      <c r="AD64" s="1262"/>
      <c r="AE64" s="1263"/>
      <c r="AF64" s="1000"/>
      <c r="AG64" s="1261"/>
      <c r="AI64" s="1263"/>
      <c r="AJ64" s="964"/>
      <c r="AK64" s="1261"/>
      <c r="AL64" s="1263"/>
      <c r="AN64" s="1000"/>
      <c r="AO64" s="1261"/>
      <c r="AP64" s="1263"/>
      <c r="AQ64" s="1263"/>
      <c r="AR64" s="1263"/>
      <c r="AS64" s="1263"/>
      <c r="AT64" s="1264"/>
      <c r="AU64" s="1261"/>
      <c r="AV64" s="1261"/>
      <c r="AW64" s="1261"/>
      <c r="AX64" s="1265"/>
      <c r="AY64" s="1006" t="s">
        <v>448</v>
      </c>
      <c r="AZ64" s="1006"/>
      <c r="BA64" s="1006" t="s">
        <v>441</v>
      </c>
      <c r="BB64" s="1007"/>
      <c r="BC64" s="1251"/>
      <c r="BD64" s="1009"/>
      <c r="BE64" s="1009"/>
      <c r="BF64" s="1009"/>
      <c r="BG64" s="1009"/>
      <c r="BH64" s="1009"/>
      <c r="BI64" s="1009"/>
      <c r="BJ64" s="1009"/>
      <c r="BK64" s="1009"/>
      <c r="BL64" s="1526"/>
      <c r="BM64" s="1527"/>
      <c r="BN64" s="1009"/>
      <c r="BO64" s="1352"/>
      <c r="BP64" s="1352"/>
      <c r="BQ64" s="1230"/>
      <c r="BS64" s="1226"/>
    </row>
    <row r="65" spans="1:71" ht="12.75" customHeight="1" x14ac:dyDescent="0.2">
      <c r="C65" s="2457" t="s">
        <v>39</v>
      </c>
      <c r="D65" s="2458"/>
      <c r="E65" s="924"/>
      <c r="F65" s="925" t="s">
        <v>452</v>
      </c>
      <c r="G65" s="925" t="s">
        <v>453</v>
      </c>
      <c r="H65" s="925" t="s">
        <v>454</v>
      </c>
      <c r="I65" s="2281" t="s">
        <v>455</v>
      </c>
      <c r="J65" s="1010" t="s">
        <v>399</v>
      </c>
      <c r="K65" s="1010" t="s">
        <v>398</v>
      </c>
      <c r="L65" s="1010" t="s">
        <v>397</v>
      </c>
      <c r="M65" s="1011" t="s">
        <v>395</v>
      </c>
      <c r="N65" s="1010" t="s">
        <v>373</v>
      </c>
      <c r="O65" s="1010" t="s">
        <v>374</v>
      </c>
      <c r="P65" s="1010" t="s">
        <v>375</v>
      </c>
      <c r="Q65" s="1011" t="s">
        <v>376</v>
      </c>
      <c r="R65" s="1010" t="s">
        <v>330</v>
      </c>
      <c r="S65" s="1010" t="s">
        <v>329</v>
      </c>
      <c r="T65" s="1010" t="s">
        <v>328</v>
      </c>
      <c r="U65" s="1011" t="s">
        <v>326</v>
      </c>
      <c r="V65" s="1010" t="s">
        <v>282</v>
      </c>
      <c r="W65" s="1010" t="s">
        <v>283</v>
      </c>
      <c r="X65" s="1010" t="s">
        <v>284</v>
      </c>
      <c r="Y65" s="1011" t="s">
        <v>285</v>
      </c>
      <c r="Z65" s="1012" t="s">
        <v>220</v>
      </c>
      <c r="AA65" s="1010" t="s">
        <v>221</v>
      </c>
      <c r="AB65" s="1010" t="s">
        <v>222</v>
      </c>
      <c r="AC65" s="1011" t="s">
        <v>219</v>
      </c>
      <c r="AD65" s="1012" t="s">
        <v>185</v>
      </c>
      <c r="AE65" s="1010" t="s">
        <v>186</v>
      </c>
      <c r="AF65" s="1010" t="s">
        <v>187</v>
      </c>
      <c r="AG65" s="1011" t="s">
        <v>188</v>
      </c>
      <c r="AH65" s="1010" t="s">
        <v>118</v>
      </c>
      <c r="AI65" s="1010" t="s">
        <v>117</v>
      </c>
      <c r="AJ65" s="1010" t="s">
        <v>116</v>
      </c>
      <c r="AK65" s="1011" t="s">
        <v>115</v>
      </c>
      <c r="AL65" s="1010" t="s">
        <v>83</v>
      </c>
      <c r="AM65" s="1010" t="s">
        <v>84</v>
      </c>
      <c r="AN65" s="1010" t="s">
        <v>85</v>
      </c>
      <c r="AO65" s="1011" t="s">
        <v>30</v>
      </c>
      <c r="AP65" s="1010" t="s">
        <v>31</v>
      </c>
      <c r="AQ65" s="1010" t="s">
        <v>32</v>
      </c>
      <c r="AR65" s="1010" t="s">
        <v>33</v>
      </c>
      <c r="AS65" s="1010" t="s">
        <v>34</v>
      </c>
      <c r="AT65" s="1013" t="s">
        <v>35</v>
      </c>
      <c r="AU65" s="1011" t="s">
        <v>36</v>
      </c>
      <c r="AV65" s="1011" t="s">
        <v>37</v>
      </c>
      <c r="AW65" s="1011" t="s">
        <v>38</v>
      </c>
      <c r="AX65" s="1014"/>
      <c r="AY65" s="1010" t="s">
        <v>399</v>
      </c>
      <c r="AZ65" s="1010" t="s">
        <v>373</v>
      </c>
      <c r="BA65" s="2485" t="s">
        <v>39</v>
      </c>
      <c r="BB65" s="2458"/>
      <c r="BC65" s="1251"/>
      <c r="BD65" s="1012" t="s">
        <v>438</v>
      </c>
      <c r="BE65" s="1012" t="s">
        <v>385</v>
      </c>
      <c r="BF65" s="1012" t="s">
        <v>332</v>
      </c>
      <c r="BG65" s="1012" t="s">
        <v>287</v>
      </c>
      <c r="BH65" s="1012" t="s">
        <v>224</v>
      </c>
      <c r="BI65" s="1012" t="s">
        <v>120</v>
      </c>
      <c r="BJ65" s="1012" t="s">
        <v>119</v>
      </c>
      <c r="BK65" s="1012" t="s">
        <v>43</v>
      </c>
      <c r="BL65" s="1012" t="s">
        <v>40</v>
      </c>
      <c r="BM65" s="1013" t="s">
        <v>41</v>
      </c>
      <c r="BN65" s="1013" t="s">
        <v>138</v>
      </c>
      <c r="BO65" s="1352"/>
      <c r="BP65" s="1352"/>
      <c r="BQ65" s="1230"/>
      <c r="BS65" s="1226"/>
    </row>
    <row r="66" spans="1:71" ht="12.75" customHeight="1" x14ac:dyDescent="0.2">
      <c r="A66" s="1235"/>
      <c r="B66" s="969" t="s">
        <v>312</v>
      </c>
      <c r="C66" s="1252">
        <v>-831</v>
      </c>
      <c r="D66" s="1372">
        <v>-2.5092852613461364E-2</v>
      </c>
      <c r="E66" s="1187"/>
      <c r="F66" s="1206"/>
      <c r="G66" s="1206"/>
      <c r="H66" s="1206"/>
      <c r="I66" s="2291">
        <v>32286</v>
      </c>
      <c r="J66" s="1310">
        <v>34125</v>
      </c>
      <c r="K66" s="1310">
        <v>34018</v>
      </c>
      <c r="L66" s="1310">
        <v>32912</v>
      </c>
      <c r="M66" s="1326">
        <v>33117</v>
      </c>
      <c r="N66" s="1310">
        <v>34492</v>
      </c>
      <c r="O66" s="1310">
        <v>28937</v>
      </c>
      <c r="P66" s="1310">
        <v>28749</v>
      </c>
      <c r="Q66" s="1326">
        <v>29096</v>
      </c>
      <c r="R66" s="1310">
        <v>32261</v>
      </c>
      <c r="S66" s="1310">
        <v>26058</v>
      </c>
      <c r="T66" s="1310">
        <v>25005</v>
      </c>
      <c r="U66" s="1326">
        <v>25887</v>
      </c>
      <c r="V66" s="1310">
        <v>25703</v>
      </c>
      <c r="W66" s="1310">
        <v>24241</v>
      </c>
      <c r="X66" s="1310">
        <v>20399</v>
      </c>
      <c r="Y66" s="1326">
        <v>19364</v>
      </c>
      <c r="Z66" s="1310">
        <v>1931</v>
      </c>
      <c r="AA66" s="2085"/>
      <c r="AB66" s="2085"/>
      <c r="AC66" s="2101"/>
      <c r="AD66" s="2128"/>
      <c r="AE66" s="2085"/>
      <c r="AF66" s="2085"/>
      <c r="AG66" s="2101"/>
      <c r="AH66" s="1310">
        <v>38197</v>
      </c>
      <c r="AI66" s="1310">
        <v>34040</v>
      </c>
      <c r="AJ66" s="1310">
        <v>30370</v>
      </c>
      <c r="AK66" s="1326">
        <v>29756</v>
      </c>
      <c r="AL66" s="1536">
        <v>24593</v>
      </c>
      <c r="AM66" s="1365">
        <v>27916</v>
      </c>
      <c r="AN66" s="1364">
        <v>32886</v>
      </c>
      <c r="AO66" s="1326">
        <v>42504</v>
      </c>
      <c r="AP66" s="1528">
        <v>29584</v>
      </c>
      <c r="AQ66" s="1251"/>
      <c r="AR66" s="1251"/>
      <c r="AS66" s="969"/>
      <c r="AT66" s="1251"/>
      <c r="AU66" s="969"/>
      <c r="AV66" s="969"/>
      <c r="AW66" s="1251"/>
      <c r="AX66" s="1274"/>
      <c r="AY66" s="1280">
        <v>134172</v>
      </c>
      <c r="AZ66" s="1281">
        <v>121274</v>
      </c>
      <c r="BA66" s="1529">
        <v>12898</v>
      </c>
      <c r="BB66" s="1253">
        <v>0.10635420617774625</v>
      </c>
      <c r="BC66" s="1251"/>
      <c r="BD66" s="1935">
        <v>134172</v>
      </c>
      <c r="BE66" s="1935">
        <v>121274</v>
      </c>
      <c r="BF66" s="1935">
        <v>109211</v>
      </c>
      <c r="BG66" s="1327">
        <v>89707</v>
      </c>
      <c r="BH66" s="1327">
        <v>1931</v>
      </c>
      <c r="BI66" s="2128"/>
      <c r="BJ66" s="2133"/>
      <c r="BK66" s="2133"/>
      <c r="BL66" s="2137"/>
      <c r="BM66" s="1530">
        <v>177862</v>
      </c>
      <c r="BN66" s="1369">
        <v>150224</v>
      </c>
      <c r="BO66" s="1352"/>
      <c r="BP66" s="1352"/>
      <c r="BQ66" s="1230"/>
      <c r="BS66" s="1226"/>
    </row>
    <row r="67" spans="1:71" ht="12.75" customHeight="1" x14ac:dyDescent="0.2">
      <c r="A67" s="1235"/>
      <c r="B67" s="969" t="s">
        <v>62</v>
      </c>
      <c r="C67" s="1252">
        <v>-5</v>
      </c>
      <c r="D67" s="1372">
        <v>-1</v>
      </c>
      <c r="E67" s="1187"/>
      <c r="F67" s="1192"/>
      <c r="G67" s="1192"/>
      <c r="H67" s="1192"/>
      <c r="I67" s="2284">
        <v>0</v>
      </c>
      <c r="J67" s="1281">
        <v>0</v>
      </c>
      <c r="K67" s="1281">
        <v>0</v>
      </c>
      <c r="L67" s="1281">
        <v>0</v>
      </c>
      <c r="M67" s="1278">
        <v>5</v>
      </c>
      <c r="N67" s="1281">
        <v>23</v>
      </c>
      <c r="O67" s="1281">
        <v>54</v>
      </c>
      <c r="P67" s="1281">
        <v>22</v>
      </c>
      <c r="Q67" s="1278">
        <v>26</v>
      </c>
      <c r="R67" s="1281">
        <v>52</v>
      </c>
      <c r="S67" s="1281">
        <v>244</v>
      </c>
      <c r="T67" s="1281">
        <v>12</v>
      </c>
      <c r="U67" s="1278">
        <v>0</v>
      </c>
      <c r="V67" s="1281">
        <v>134</v>
      </c>
      <c r="W67" s="1281">
        <v>186</v>
      </c>
      <c r="X67" s="1281">
        <v>86</v>
      </c>
      <c r="Y67" s="1326">
        <v>48</v>
      </c>
      <c r="Z67" s="1310">
        <v>1</v>
      </c>
      <c r="AA67" s="2085"/>
      <c r="AB67" s="2085"/>
      <c r="AC67" s="2101"/>
      <c r="AD67" s="2128"/>
      <c r="AE67" s="2085"/>
      <c r="AF67" s="2085"/>
      <c r="AG67" s="2101"/>
      <c r="AH67" s="1310">
        <v>10808</v>
      </c>
      <c r="AI67" s="1310">
        <v>10384</v>
      </c>
      <c r="AJ67" s="1310">
        <v>6254</v>
      </c>
      <c r="AK67" s="1326">
        <v>5954</v>
      </c>
      <c r="AL67" s="1536">
        <v>5426</v>
      </c>
      <c r="AM67" s="1310">
        <v>1798</v>
      </c>
      <c r="AN67" s="1326">
        <v>5110</v>
      </c>
      <c r="AO67" s="1326">
        <v>8533</v>
      </c>
      <c r="AP67" s="1528">
        <v>68274</v>
      </c>
      <c r="AQ67" s="1251"/>
      <c r="AR67" s="1251"/>
      <c r="AS67" s="969"/>
      <c r="AT67" s="1251"/>
      <c r="AU67" s="969"/>
      <c r="AV67" s="969"/>
      <c r="AW67" s="1251"/>
      <c r="AX67" s="1274"/>
      <c r="AY67" s="2138">
        <v>5</v>
      </c>
      <c r="AZ67" s="1281">
        <v>125</v>
      </c>
      <c r="BA67" s="1294">
        <v>-120</v>
      </c>
      <c r="BB67" s="1056">
        <v>-0.96</v>
      </c>
      <c r="BC67" s="1251"/>
      <c r="BD67" s="1935">
        <v>5</v>
      </c>
      <c r="BE67" s="1935">
        <v>125</v>
      </c>
      <c r="BF67" s="1935">
        <v>308</v>
      </c>
      <c r="BG67" s="1327">
        <v>454</v>
      </c>
      <c r="BH67" s="1327">
        <v>1</v>
      </c>
      <c r="BI67" s="2133"/>
      <c r="BJ67" s="2133"/>
      <c r="BK67" s="2133"/>
      <c r="BL67" s="2139"/>
      <c r="BM67" s="1282">
        <v>62132</v>
      </c>
      <c r="BN67" s="1054">
        <v>49772</v>
      </c>
      <c r="BO67" s="1352"/>
      <c r="BP67" s="1352"/>
      <c r="BQ67" s="1230"/>
      <c r="BS67" s="1226"/>
    </row>
    <row r="68" spans="1:71" ht="12.75" customHeight="1" x14ac:dyDescent="0.2">
      <c r="A68" s="1235"/>
      <c r="B68" s="969" t="s">
        <v>203</v>
      </c>
      <c r="C68" s="1252">
        <v>0</v>
      </c>
      <c r="D68" s="1372">
        <v>0</v>
      </c>
      <c r="E68" s="1187"/>
      <c r="F68" s="1192"/>
      <c r="G68" s="1192"/>
      <c r="H68" s="1192"/>
      <c r="I68" s="2284">
        <v>0</v>
      </c>
      <c r="J68" s="1281">
        <v>0</v>
      </c>
      <c r="K68" s="1281">
        <v>0</v>
      </c>
      <c r="L68" s="1281">
        <v>0</v>
      </c>
      <c r="M68" s="1278">
        <v>0</v>
      </c>
      <c r="N68" s="1281">
        <v>0</v>
      </c>
      <c r="O68" s="1281">
        <v>0</v>
      </c>
      <c r="P68" s="1281">
        <v>0</v>
      </c>
      <c r="Q68" s="1278">
        <v>0</v>
      </c>
      <c r="R68" s="1281">
        <v>0</v>
      </c>
      <c r="S68" s="1281">
        <v>0</v>
      </c>
      <c r="T68" s="1281">
        <v>0</v>
      </c>
      <c r="U68" s="1278">
        <v>0</v>
      </c>
      <c r="V68" s="1281">
        <v>0</v>
      </c>
      <c r="W68" s="1281">
        <v>0</v>
      </c>
      <c r="X68" s="1281">
        <v>0</v>
      </c>
      <c r="Y68" s="1278">
        <v>0</v>
      </c>
      <c r="Z68" s="1281">
        <v>0</v>
      </c>
      <c r="AA68" s="2085"/>
      <c r="AB68" s="2085"/>
      <c r="AC68" s="2101"/>
      <c r="AD68" s="2085"/>
      <c r="AE68" s="2085"/>
      <c r="AF68" s="2085"/>
      <c r="AG68" s="2101"/>
      <c r="AH68" s="1281">
        <v>0</v>
      </c>
      <c r="AI68" s="1281">
        <v>0</v>
      </c>
      <c r="AJ68" s="1281">
        <v>0</v>
      </c>
      <c r="AK68" s="1278">
        <v>0</v>
      </c>
      <c r="AL68" s="1281">
        <v>0</v>
      </c>
      <c r="AM68" s="1281">
        <v>0</v>
      </c>
      <c r="AN68" s="1278">
        <v>0</v>
      </c>
      <c r="AO68" s="1278">
        <v>0</v>
      </c>
      <c r="AP68" s="1281">
        <v>0</v>
      </c>
      <c r="AQ68" s="1281"/>
      <c r="AR68" s="1281"/>
      <c r="AS68" s="1281"/>
      <c r="AT68" s="1281"/>
      <c r="AU68" s="1281"/>
      <c r="AV68" s="1281"/>
      <c r="AW68" s="1281"/>
      <c r="AX68" s="1279"/>
      <c r="AY68" s="2138">
        <v>0</v>
      </c>
      <c r="AZ68" s="1281">
        <v>0</v>
      </c>
      <c r="BA68" s="2074">
        <v>0</v>
      </c>
      <c r="BB68" s="1056">
        <v>0</v>
      </c>
      <c r="BC68" s="1281"/>
      <c r="BD68" s="1935">
        <v>0</v>
      </c>
      <c r="BE68" s="1935">
        <v>0</v>
      </c>
      <c r="BF68" s="1935">
        <v>0</v>
      </c>
      <c r="BG68" s="1279">
        <v>0</v>
      </c>
      <c r="BH68" s="1279">
        <v>0</v>
      </c>
      <c r="BI68" s="2133"/>
      <c r="BJ68" s="2133"/>
      <c r="BK68" s="2133"/>
      <c r="BL68" s="2139"/>
      <c r="BM68" s="1279">
        <v>0</v>
      </c>
      <c r="BN68" s="1279">
        <v>0</v>
      </c>
      <c r="BO68" s="1352"/>
      <c r="BP68" s="1352"/>
      <c r="BQ68" s="1230"/>
      <c r="BS68" s="1226"/>
    </row>
    <row r="69" spans="1:71" ht="12.75" customHeight="1" x14ac:dyDescent="0.2">
      <c r="A69" s="1235"/>
      <c r="B69" s="969" t="s">
        <v>63</v>
      </c>
      <c r="C69" s="1252">
        <v>0</v>
      </c>
      <c r="D69" s="1372">
        <v>0</v>
      </c>
      <c r="E69" s="1187"/>
      <c r="F69" s="1192"/>
      <c r="G69" s="1192"/>
      <c r="H69" s="1192"/>
      <c r="I69" s="2284">
        <v>0</v>
      </c>
      <c r="J69" s="1281">
        <v>0</v>
      </c>
      <c r="K69" s="1281">
        <v>0</v>
      </c>
      <c r="L69" s="1281">
        <v>0</v>
      </c>
      <c r="M69" s="1278">
        <v>0</v>
      </c>
      <c r="N69" s="1281">
        <v>0</v>
      </c>
      <c r="O69" s="1281">
        <v>0</v>
      </c>
      <c r="P69" s="1281">
        <v>0</v>
      </c>
      <c r="Q69" s="1278">
        <v>0</v>
      </c>
      <c r="R69" s="1281">
        <v>0</v>
      </c>
      <c r="S69" s="1281">
        <v>0</v>
      </c>
      <c r="T69" s="1281">
        <v>0</v>
      </c>
      <c r="U69" s="1278">
        <v>0</v>
      </c>
      <c r="V69" s="1281">
        <v>0</v>
      </c>
      <c r="W69" s="1281">
        <v>0</v>
      </c>
      <c r="X69" s="1281">
        <v>0</v>
      </c>
      <c r="Y69" s="1278">
        <v>0</v>
      </c>
      <c r="Z69" s="1281">
        <v>0</v>
      </c>
      <c r="AA69" s="2085"/>
      <c r="AB69" s="2085"/>
      <c r="AC69" s="2101"/>
      <c r="AD69" s="2128"/>
      <c r="AE69" s="2085"/>
      <c r="AF69" s="2085"/>
      <c r="AG69" s="2101"/>
      <c r="AH69" s="1310">
        <v>408</v>
      </c>
      <c r="AI69" s="1310">
        <v>4280</v>
      </c>
      <c r="AJ69" s="1310">
        <v>850</v>
      </c>
      <c r="AK69" s="1326">
        <v>1696</v>
      </c>
      <c r="AL69" s="1536">
        <v>198</v>
      </c>
      <c r="AM69" s="1310">
        <v>-649</v>
      </c>
      <c r="AN69" s="1326">
        <v>-226</v>
      </c>
      <c r="AO69" s="1326">
        <v>548</v>
      </c>
      <c r="AP69" s="1528">
        <v>5363</v>
      </c>
      <c r="AQ69" s="1251"/>
      <c r="AR69" s="1251"/>
      <c r="AS69" s="969"/>
      <c r="AT69" s="1251"/>
      <c r="AU69" s="969"/>
      <c r="AV69" s="969"/>
      <c r="AW69" s="1251"/>
      <c r="AX69" s="1274"/>
      <c r="AY69" s="2138">
        <v>0</v>
      </c>
      <c r="AZ69" s="1281">
        <v>0</v>
      </c>
      <c r="BA69" s="2074">
        <v>0</v>
      </c>
      <c r="BB69" s="1056">
        <v>0</v>
      </c>
      <c r="BC69" s="1251"/>
      <c r="BD69" s="1935">
        <v>0</v>
      </c>
      <c r="BE69" s="1935">
        <v>0</v>
      </c>
      <c r="BF69" s="1935">
        <v>0</v>
      </c>
      <c r="BG69" s="1279">
        <v>0</v>
      </c>
      <c r="BH69" s="1279">
        <v>0</v>
      </c>
      <c r="BI69" s="2133"/>
      <c r="BJ69" s="2133"/>
      <c r="BK69" s="2133"/>
      <c r="BL69" s="2139"/>
      <c r="BM69" s="1282">
        <v>4992</v>
      </c>
      <c r="BN69" s="1054">
        <v>5670</v>
      </c>
      <c r="BO69" s="1352"/>
      <c r="BP69" s="1352"/>
      <c r="BQ69" s="1230"/>
      <c r="BS69" s="1226"/>
    </row>
    <row r="70" spans="1:71" ht="12.75" customHeight="1" x14ac:dyDescent="0.2">
      <c r="A70" s="1235"/>
      <c r="B70" s="969" t="s">
        <v>64</v>
      </c>
      <c r="C70" s="1252">
        <v>-157</v>
      </c>
      <c r="D70" s="1372">
        <v>-0.30019120458891013</v>
      </c>
      <c r="E70" s="1187"/>
      <c r="F70" s="1206"/>
      <c r="G70" s="1206"/>
      <c r="H70" s="1206"/>
      <c r="I70" s="2291">
        <v>366</v>
      </c>
      <c r="J70" s="1310">
        <v>295</v>
      </c>
      <c r="K70" s="1310">
        <v>491</v>
      </c>
      <c r="L70" s="1310">
        <v>462</v>
      </c>
      <c r="M70" s="1326">
        <v>523</v>
      </c>
      <c r="N70" s="1310">
        <v>452</v>
      </c>
      <c r="O70" s="1310">
        <v>466</v>
      </c>
      <c r="P70" s="1310">
        <v>542</v>
      </c>
      <c r="Q70" s="1326">
        <v>522</v>
      </c>
      <c r="R70" s="1310">
        <v>622</v>
      </c>
      <c r="S70" s="1310">
        <v>507</v>
      </c>
      <c r="T70" s="1310">
        <v>575</v>
      </c>
      <c r="U70" s="1326">
        <v>718</v>
      </c>
      <c r="V70" s="1310">
        <v>762</v>
      </c>
      <c r="W70" s="1310">
        <v>250</v>
      </c>
      <c r="X70" s="1310">
        <v>192</v>
      </c>
      <c r="Y70" s="1326">
        <v>191</v>
      </c>
      <c r="Z70" s="1310">
        <v>15</v>
      </c>
      <c r="AA70" s="2085"/>
      <c r="AB70" s="2085"/>
      <c r="AC70" s="2101"/>
      <c r="AD70" s="2128"/>
      <c r="AE70" s="2085"/>
      <c r="AF70" s="2085"/>
      <c r="AG70" s="2101"/>
      <c r="AH70" s="1310">
        <v>2191</v>
      </c>
      <c r="AI70" s="1310">
        <v>2171</v>
      </c>
      <c r="AJ70" s="1310">
        <v>2224</v>
      </c>
      <c r="AK70" s="1326">
        <v>2325</v>
      </c>
      <c r="AL70" s="1536">
        <v>6358</v>
      </c>
      <c r="AM70" s="1310">
        <v>4010</v>
      </c>
      <c r="AN70" s="1326">
        <v>5644</v>
      </c>
      <c r="AO70" s="1326">
        <v>5891</v>
      </c>
      <c r="AP70" s="1528">
        <v>1512</v>
      </c>
      <c r="AQ70" s="1251"/>
      <c r="AR70" s="1251"/>
      <c r="AS70" s="969"/>
      <c r="AT70" s="1251"/>
      <c r="AU70" s="969"/>
      <c r="AV70" s="969"/>
      <c r="AW70" s="1251"/>
      <c r="AX70" s="1274"/>
      <c r="AY70" s="1280">
        <v>1771</v>
      </c>
      <c r="AZ70" s="1281">
        <v>1982</v>
      </c>
      <c r="BA70" s="1294">
        <v>-211</v>
      </c>
      <c r="BB70" s="1056">
        <v>-0.10645812310797174</v>
      </c>
      <c r="BC70" s="1251"/>
      <c r="BD70" s="1935">
        <v>1771</v>
      </c>
      <c r="BE70" s="1935">
        <v>1982</v>
      </c>
      <c r="BF70" s="1935">
        <v>2422</v>
      </c>
      <c r="BG70" s="1327">
        <v>1395</v>
      </c>
      <c r="BH70" s="1327">
        <v>15</v>
      </c>
      <c r="BI70" s="2133"/>
      <c r="BJ70" s="2133"/>
      <c r="BK70" s="2133"/>
      <c r="BL70" s="2139"/>
      <c r="BM70" s="1282">
        <v>26877</v>
      </c>
      <c r="BN70" s="1054">
        <v>18354</v>
      </c>
      <c r="BO70" s="1352"/>
      <c r="BP70" s="1352"/>
      <c r="BQ70" s="1230"/>
      <c r="BS70" s="1226"/>
    </row>
    <row r="71" spans="1:71" ht="12.75" customHeight="1" x14ac:dyDescent="0.2">
      <c r="A71" s="1429"/>
      <c r="B71" s="969" t="s">
        <v>65</v>
      </c>
      <c r="C71" s="1252">
        <v>-127</v>
      </c>
      <c r="D71" s="1372">
        <v>-0.17590027700831026</v>
      </c>
      <c r="E71" s="1415"/>
      <c r="F71" s="1222"/>
      <c r="G71" s="1222"/>
      <c r="H71" s="1222"/>
      <c r="I71" s="2296">
        <v>595</v>
      </c>
      <c r="J71" s="1374">
        <v>493</v>
      </c>
      <c r="K71" s="1374">
        <v>531</v>
      </c>
      <c r="L71" s="1374">
        <v>665</v>
      </c>
      <c r="M71" s="1373">
        <v>722</v>
      </c>
      <c r="N71" s="1374">
        <v>705</v>
      </c>
      <c r="O71" s="1374">
        <v>508</v>
      </c>
      <c r="P71" s="1374">
        <v>473</v>
      </c>
      <c r="Q71" s="1373">
        <v>484</v>
      </c>
      <c r="R71" s="1374">
        <v>285</v>
      </c>
      <c r="S71" s="1374">
        <v>209</v>
      </c>
      <c r="T71" s="1374">
        <v>238</v>
      </c>
      <c r="U71" s="1373">
        <v>373</v>
      </c>
      <c r="V71" s="1374">
        <v>107</v>
      </c>
      <c r="W71" s="1374">
        <v>115</v>
      </c>
      <c r="X71" s="1378">
        <v>-5</v>
      </c>
      <c r="Y71" s="1373">
        <v>-16</v>
      </c>
      <c r="Z71" s="1310">
        <v>40</v>
      </c>
      <c r="AA71" s="2085"/>
      <c r="AB71" s="2085"/>
      <c r="AC71" s="2101"/>
      <c r="AD71" s="2128"/>
      <c r="AE71" s="2085"/>
      <c r="AF71" s="2085"/>
      <c r="AG71" s="2101"/>
      <c r="AH71" s="1310">
        <v>3386</v>
      </c>
      <c r="AI71" s="1310">
        <v>858</v>
      </c>
      <c r="AJ71" s="1374">
        <v>440</v>
      </c>
      <c r="AK71" s="1373">
        <v>454</v>
      </c>
      <c r="AL71" s="1536">
        <v>680</v>
      </c>
      <c r="AM71" s="1374">
        <v>457</v>
      </c>
      <c r="AN71" s="1373">
        <v>430</v>
      </c>
      <c r="AO71" s="1373">
        <v>377</v>
      </c>
      <c r="AP71" s="1531">
        <v>60</v>
      </c>
      <c r="AQ71" s="1008"/>
      <c r="AR71" s="1008"/>
      <c r="AS71" s="1008"/>
      <c r="AT71" s="1008"/>
      <c r="AU71" s="1008"/>
      <c r="AV71" s="1008"/>
      <c r="AW71" s="1008"/>
      <c r="AX71" s="1274"/>
      <c r="AY71" s="1280">
        <v>2411</v>
      </c>
      <c r="AZ71" s="1281">
        <v>2170</v>
      </c>
      <c r="BA71" s="1302">
        <v>241</v>
      </c>
      <c r="BB71" s="1056">
        <v>0.11105990783410138</v>
      </c>
      <c r="BC71" s="1235"/>
      <c r="BD71" s="1935">
        <v>2411</v>
      </c>
      <c r="BE71" s="1935">
        <v>2170</v>
      </c>
      <c r="BF71" s="1935">
        <v>1105</v>
      </c>
      <c r="BG71" s="1535">
        <v>201</v>
      </c>
      <c r="BH71" s="1535">
        <v>40</v>
      </c>
      <c r="BI71" s="2136"/>
      <c r="BJ71" s="2136"/>
      <c r="BK71" s="2136"/>
      <c r="BL71" s="2140"/>
      <c r="BM71" s="1305">
        <v>756</v>
      </c>
      <c r="BN71" s="1329">
        <v>1174</v>
      </c>
      <c r="BO71" s="1352"/>
      <c r="BP71" s="1352"/>
      <c r="BQ71" s="1230"/>
      <c r="BS71" s="1226"/>
    </row>
    <row r="72" spans="1:71" ht="12.75" customHeight="1" x14ac:dyDescent="0.2">
      <c r="A72" s="1429"/>
      <c r="B72" s="969"/>
      <c r="C72" s="1430">
        <v>-1120</v>
      </c>
      <c r="D72" s="2081">
        <v>-3.2589402624610818E-2</v>
      </c>
      <c r="E72" s="1185"/>
      <c r="F72" s="1416">
        <v>0</v>
      </c>
      <c r="G72" s="1416">
        <v>0</v>
      </c>
      <c r="H72" s="1416">
        <v>0</v>
      </c>
      <c r="I72" s="2318">
        <v>33247</v>
      </c>
      <c r="J72" s="1539">
        <v>34913</v>
      </c>
      <c r="K72" s="1539">
        <v>35040</v>
      </c>
      <c r="L72" s="1539">
        <v>34039</v>
      </c>
      <c r="M72" s="1540">
        <v>34367</v>
      </c>
      <c r="N72" s="1539">
        <v>35672</v>
      </c>
      <c r="O72" s="1539">
        <v>29965</v>
      </c>
      <c r="P72" s="1539">
        <v>29786</v>
      </c>
      <c r="Q72" s="1540">
        <v>30128</v>
      </c>
      <c r="R72" s="1539">
        <v>33220</v>
      </c>
      <c r="S72" s="1539">
        <v>27018</v>
      </c>
      <c r="T72" s="1539">
        <v>25830</v>
      </c>
      <c r="U72" s="1540">
        <v>26978</v>
      </c>
      <c r="V72" s="1539">
        <v>26706</v>
      </c>
      <c r="W72" s="1539">
        <v>24792</v>
      </c>
      <c r="X72" s="1539">
        <v>20672</v>
      </c>
      <c r="Y72" s="1540">
        <v>19587</v>
      </c>
      <c r="Z72" s="1539">
        <v>1987</v>
      </c>
      <c r="AA72" s="2141"/>
      <c r="AB72" s="2141"/>
      <c r="AC72" s="2142"/>
      <c r="AD72" s="2141"/>
      <c r="AE72" s="2141"/>
      <c r="AF72" s="2141"/>
      <c r="AG72" s="2142"/>
      <c r="AH72" s="1539">
        <v>54990</v>
      </c>
      <c r="AI72" s="1539">
        <v>51733</v>
      </c>
      <c r="AJ72" s="1539">
        <v>40138</v>
      </c>
      <c r="AK72" s="1540">
        <v>40185</v>
      </c>
      <c r="AL72" s="1541">
        <v>37255</v>
      </c>
      <c r="AM72" s="1539">
        <v>33532</v>
      </c>
      <c r="AN72" s="1540">
        <v>43844</v>
      </c>
      <c r="AO72" s="1540">
        <v>57853</v>
      </c>
      <c r="AP72" s="1540">
        <v>104793</v>
      </c>
      <c r="AQ72" s="964"/>
      <c r="AR72" s="964"/>
      <c r="AS72" s="964"/>
      <c r="AT72" s="964"/>
      <c r="AU72" s="964"/>
      <c r="AV72" s="964"/>
      <c r="AW72" s="964"/>
      <c r="AX72" s="1265"/>
      <c r="AY72" s="1539">
        <v>138359</v>
      </c>
      <c r="AZ72" s="1287">
        <v>125551</v>
      </c>
      <c r="BA72" s="1542">
        <v>12808</v>
      </c>
      <c r="BB72" s="1232">
        <v>0.10201432087358922</v>
      </c>
      <c r="BD72" s="1544">
        <v>138359</v>
      </c>
      <c r="BE72" s="1541">
        <v>125551</v>
      </c>
      <c r="BF72" s="1541">
        <v>113046</v>
      </c>
      <c r="BG72" s="1541">
        <v>91757</v>
      </c>
      <c r="BH72" s="1541">
        <v>1987</v>
      </c>
      <c r="BI72" s="2143"/>
      <c r="BJ72" s="2143"/>
      <c r="BK72" s="2144"/>
      <c r="BL72" s="2141"/>
      <c r="BM72" s="1544">
        <v>272619</v>
      </c>
      <c r="BN72" s="1288">
        <f>SUM(BN66:BN71)</f>
        <v>225194</v>
      </c>
      <c r="BO72" s="1352"/>
      <c r="BP72" s="1352"/>
      <c r="BQ72" s="1230"/>
      <c r="BS72" s="1226"/>
    </row>
    <row r="73" spans="1:71" ht="12.75" customHeight="1" x14ac:dyDescent="0.2">
      <c r="A73" s="969" t="s">
        <v>381</v>
      </c>
      <c r="B73" s="990"/>
      <c r="C73" s="990"/>
      <c r="D73" s="990"/>
      <c r="E73" s="961"/>
      <c r="F73" s="961"/>
      <c r="G73" s="961"/>
      <c r="H73" s="961"/>
      <c r="I73" s="961"/>
      <c r="J73" s="990"/>
      <c r="K73" s="990"/>
      <c r="L73" s="990"/>
      <c r="M73" s="1008"/>
      <c r="N73" s="990"/>
      <c r="O73" s="990"/>
      <c r="P73" s="990"/>
      <c r="Q73" s="1008"/>
      <c r="R73" s="990"/>
      <c r="S73" s="990"/>
      <c r="T73" s="990"/>
      <c r="U73" s="1008"/>
      <c r="V73" s="990"/>
      <c r="W73" s="990"/>
      <c r="X73" s="990"/>
      <c r="Y73" s="1008"/>
      <c r="Z73" s="990"/>
      <c r="AA73" s="990"/>
      <c r="AB73" s="990"/>
      <c r="AC73" s="1008"/>
      <c r="AD73" s="990"/>
      <c r="AE73" s="990"/>
      <c r="AF73" s="990"/>
      <c r="AG73" s="1008"/>
      <c r="AH73" s="990"/>
      <c r="AI73" s="990"/>
      <c r="AJ73" s="990"/>
      <c r="AK73" s="1008"/>
      <c r="AL73" s="990"/>
      <c r="AM73" s="990"/>
      <c r="AN73" s="990"/>
      <c r="AO73" s="1008"/>
      <c r="AP73" s="1008"/>
      <c r="AQ73" s="1008"/>
      <c r="AR73" s="1008"/>
      <c r="AS73" s="1008"/>
      <c r="AT73" s="1008"/>
      <c r="AU73" s="1008"/>
      <c r="AV73" s="1008"/>
      <c r="AW73" s="1008"/>
      <c r="AY73" s="1226"/>
      <c r="AZ73" s="1226"/>
      <c r="BA73" s="1235"/>
      <c r="BB73" s="1235"/>
      <c r="BL73" s="964"/>
      <c r="BM73" s="964"/>
      <c r="BP73" s="1226"/>
      <c r="BQ73" s="1226"/>
      <c r="BS73" s="1226"/>
    </row>
    <row r="74" spans="1:71" x14ac:dyDescent="0.2">
      <c r="A74" s="989" t="s">
        <v>29</v>
      </c>
      <c r="B74" s="1226"/>
      <c r="C74" s="1226"/>
      <c r="D74" s="1226"/>
      <c r="J74" s="1025"/>
      <c r="K74" s="1025"/>
      <c r="L74" s="1025"/>
      <c r="M74" s="1025"/>
      <c r="N74" s="1025"/>
      <c r="O74" s="1025"/>
      <c r="P74" s="1025"/>
      <c r="Q74" s="1025"/>
      <c r="R74" s="1025"/>
      <c r="S74" s="1025"/>
      <c r="T74" s="1025"/>
      <c r="U74" s="1025"/>
      <c r="V74" s="1025"/>
      <c r="W74" s="1025"/>
      <c r="X74" s="1025"/>
      <c r="Y74" s="1025"/>
      <c r="Z74" s="1025"/>
      <c r="AA74" s="1025"/>
      <c r="AB74" s="1025"/>
      <c r="AC74" s="1025"/>
      <c r="AD74" s="1025"/>
      <c r="AE74" s="1025"/>
      <c r="AF74" s="1025"/>
      <c r="AG74" s="1025"/>
      <c r="AH74" s="1025"/>
      <c r="AI74" s="1025"/>
      <c r="AJ74" s="1025"/>
      <c r="AK74" s="1025"/>
      <c r="AL74" s="1025"/>
      <c r="AM74" s="1025"/>
      <c r="AN74" s="1025"/>
      <c r="AO74" s="1025"/>
      <c r="AP74" s="1025"/>
      <c r="AQ74" s="1025"/>
      <c r="AR74" s="1025"/>
      <c r="AS74" s="1025"/>
      <c r="AT74" s="1025"/>
      <c r="AU74" s="1025"/>
      <c r="AV74" s="1025"/>
      <c r="AW74" s="1025"/>
      <c r="AX74" s="1025"/>
      <c r="AY74" s="1025"/>
      <c r="AZ74" s="1025"/>
      <c r="BA74" s="1025"/>
      <c r="BB74" s="1025"/>
      <c r="BC74" s="1025"/>
      <c r="BD74" s="1025"/>
      <c r="BE74" s="1025"/>
      <c r="BF74" s="1025"/>
      <c r="BG74" s="1025"/>
      <c r="BH74" s="1025"/>
      <c r="BI74" s="1025"/>
      <c r="BJ74" s="1025"/>
      <c r="BK74" s="1025"/>
      <c r="BL74" s="1025"/>
      <c r="BM74" s="1025"/>
      <c r="BN74" s="1025"/>
      <c r="BO74" s="1235"/>
      <c r="BP74" s="1226"/>
      <c r="BQ74" s="1226"/>
      <c r="BS74" s="1226"/>
    </row>
    <row r="75" spans="1:71" x14ac:dyDescent="0.2">
      <c r="A75" s="964"/>
      <c r="L75" s="1258"/>
      <c r="M75" s="1025"/>
      <c r="P75" s="1258"/>
      <c r="Q75" s="1025"/>
      <c r="U75" s="1025"/>
      <c r="Y75" s="1025"/>
      <c r="Z75" s="1025"/>
      <c r="AC75" s="1025"/>
      <c r="AG75" s="1025"/>
      <c r="AK75" s="1025"/>
      <c r="AO75" s="1025"/>
      <c r="AP75" s="1226"/>
      <c r="AQ75" s="1226"/>
      <c r="AR75" s="1226"/>
      <c r="AS75" s="1226"/>
      <c r="AT75" s="1226"/>
      <c r="AU75" s="1226"/>
      <c r="AV75" s="1226"/>
      <c r="AW75" s="1025"/>
      <c r="AY75" s="1258"/>
      <c r="AZ75" s="1226"/>
      <c r="BA75" s="1226"/>
      <c r="BB75" s="1226"/>
      <c r="BC75" s="1226"/>
      <c r="BD75" s="1025"/>
      <c r="BE75" s="1025"/>
      <c r="BF75" s="1025"/>
      <c r="BG75" s="1025"/>
      <c r="BH75" s="1025"/>
      <c r="BL75" s="1025"/>
      <c r="BM75" s="1025"/>
      <c r="BN75" s="2052"/>
      <c r="BO75" s="2052"/>
      <c r="BP75" s="1226"/>
      <c r="BQ75" s="1226"/>
      <c r="BS75" s="1226"/>
    </row>
    <row r="76" spans="1:71" x14ac:dyDescent="0.2">
      <c r="A76" s="969" t="s">
        <v>310</v>
      </c>
      <c r="M76" s="1025"/>
      <c r="Q76" s="1025"/>
      <c r="U76" s="1025"/>
      <c r="Y76" s="1025"/>
      <c r="Z76" s="1025"/>
      <c r="AC76" s="1025"/>
      <c r="AG76" s="1025"/>
      <c r="AK76" s="1025"/>
      <c r="AO76" s="1025"/>
      <c r="AP76" s="1226"/>
      <c r="AQ76" s="1226"/>
      <c r="AR76" s="1226"/>
      <c r="AS76" s="1226"/>
      <c r="AT76" s="1226"/>
      <c r="AU76" s="1226"/>
      <c r="AV76" s="1226"/>
      <c r="AW76" s="1025"/>
      <c r="AY76" s="1226"/>
      <c r="AZ76" s="1226"/>
      <c r="BA76" s="1226"/>
      <c r="BB76" s="1226"/>
      <c r="BC76" s="1226"/>
      <c r="BD76" s="1025"/>
      <c r="BE76" s="1025"/>
      <c r="BF76" s="1025"/>
      <c r="BG76" s="1025"/>
      <c r="BH76" s="1025"/>
      <c r="BL76" s="1025"/>
      <c r="BM76" s="1025"/>
      <c r="BN76" s="2052"/>
      <c r="BO76" s="2052"/>
      <c r="BP76" s="1226"/>
      <c r="BQ76" s="1226"/>
      <c r="BS76" s="1226"/>
    </row>
    <row r="77" spans="1:71" x14ac:dyDescent="0.2">
      <c r="M77" s="1025"/>
      <c r="Q77" s="1025"/>
      <c r="U77" s="1025"/>
      <c r="Y77" s="1025"/>
      <c r="Z77" s="1025"/>
      <c r="AC77" s="1025"/>
      <c r="AG77" s="1025"/>
      <c r="AK77" s="1025"/>
      <c r="AO77" s="1025"/>
      <c r="AP77" s="1226"/>
      <c r="AQ77" s="1226"/>
      <c r="AR77" s="1226"/>
      <c r="AS77" s="1226"/>
      <c r="AT77" s="1226"/>
      <c r="AU77" s="1226"/>
      <c r="AV77" s="1226"/>
      <c r="AW77" s="1025"/>
      <c r="AY77" s="1226"/>
      <c r="AZ77" s="1226"/>
      <c r="BA77" s="1025"/>
      <c r="BB77" s="975"/>
      <c r="BC77" s="1226"/>
      <c r="BD77" s="1025"/>
      <c r="BE77" s="1025"/>
      <c r="BF77" s="1025"/>
      <c r="BG77" s="1025"/>
      <c r="BH77" s="1025"/>
      <c r="BL77" s="1025"/>
      <c r="BM77" s="1025"/>
      <c r="BO77" s="2052"/>
    </row>
    <row r="78" spans="1:71" x14ac:dyDescent="0.2">
      <c r="J78" s="1258"/>
      <c r="K78" s="1258"/>
      <c r="L78" s="1258"/>
      <c r="M78" s="1258"/>
      <c r="N78" s="1258"/>
      <c r="O78" s="1258"/>
      <c r="P78" s="1258"/>
      <c r="Q78" s="1258"/>
      <c r="R78" s="1258"/>
      <c r="S78" s="1258"/>
      <c r="T78" s="1258"/>
      <c r="U78" s="1258"/>
      <c r="Y78" s="1025"/>
      <c r="Z78" s="1025"/>
      <c r="AC78" s="1025"/>
      <c r="AG78" s="1025"/>
      <c r="AK78" s="1025"/>
      <c r="AO78" s="1025"/>
      <c r="AP78" s="1226"/>
      <c r="AQ78" s="1226"/>
      <c r="AR78" s="1226"/>
      <c r="AS78" s="1226"/>
      <c r="AT78" s="1226"/>
      <c r="AU78" s="1226"/>
      <c r="AV78" s="1226"/>
      <c r="AW78" s="1025"/>
      <c r="AY78" s="1226"/>
      <c r="AZ78" s="1226"/>
      <c r="BA78" s="1025"/>
      <c r="BB78" s="975"/>
      <c r="BC78" s="1226"/>
      <c r="BD78" s="1025"/>
      <c r="BE78" s="1025"/>
      <c r="BF78" s="1025"/>
      <c r="BG78" s="1025"/>
      <c r="BH78" s="1025"/>
      <c r="BL78" s="964"/>
      <c r="BM78" s="964"/>
      <c r="BO78" s="2052"/>
    </row>
    <row r="79" spans="1:71" x14ac:dyDescent="0.2">
      <c r="M79" s="964"/>
      <c r="Q79" s="964"/>
      <c r="U79" s="964"/>
      <c r="Y79" s="964"/>
      <c r="Z79" s="1025"/>
      <c r="AC79" s="964"/>
      <c r="AG79" s="964"/>
      <c r="AK79" s="964"/>
      <c r="AO79" s="964"/>
      <c r="AP79" s="1226"/>
      <c r="AQ79" s="1226"/>
      <c r="AR79" s="1226"/>
      <c r="AS79" s="1226"/>
      <c r="AT79" s="1226"/>
      <c r="AU79" s="1226"/>
      <c r="AV79" s="1226"/>
      <c r="AW79" s="994"/>
      <c r="AY79" s="1226"/>
      <c r="AZ79" s="1226"/>
      <c r="BA79" s="1025"/>
      <c r="BB79" s="975"/>
      <c r="BC79" s="1226"/>
      <c r="BD79" s="1025"/>
      <c r="BE79" s="1025"/>
      <c r="BF79" s="1025"/>
      <c r="BG79" s="1025"/>
      <c r="BH79" s="1025"/>
      <c r="BL79" s="964"/>
      <c r="BM79" s="964"/>
      <c r="BO79" s="2052"/>
    </row>
    <row r="80" spans="1:71" x14ac:dyDescent="0.2">
      <c r="C80" s="2057"/>
      <c r="K80" s="1258"/>
      <c r="L80" s="1258"/>
      <c r="M80" s="1258"/>
      <c r="O80" s="1258"/>
      <c r="P80" s="1258"/>
      <c r="Q80" s="1258"/>
      <c r="U80" s="964"/>
      <c r="Y80" s="964"/>
      <c r="Z80" s="1025"/>
      <c r="AC80" s="964"/>
      <c r="AG80" s="964"/>
      <c r="AK80" s="964"/>
      <c r="AO80" s="964"/>
      <c r="AP80" s="1226"/>
      <c r="AQ80" s="1226"/>
      <c r="AR80" s="1226"/>
      <c r="AS80" s="1226"/>
      <c r="AT80" s="1226"/>
      <c r="AU80" s="1226"/>
      <c r="AV80" s="1226"/>
      <c r="AW80" s="2077"/>
      <c r="AY80" s="1226"/>
      <c r="AZ80" s="1226"/>
      <c r="BA80" s="1226"/>
      <c r="BB80" s="1226"/>
      <c r="BC80" s="1226"/>
      <c r="BD80" s="1025"/>
      <c r="BE80" s="1025"/>
      <c r="BF80" s="1025"/>
      <c r="BG80" s="1025"/>
      <c r="BH80" s="1025"/>
      <c r="BL80" s="964"/>
      <c r="BM80" s="964"/>
    </row>
    <row r="81" spans="13:65" x14ac:dyDescent="0.2">
      <c r="M81" s="964"/>
      <c r="Q81" s="964"/>
      <c r="U81" s="964"/>
      <c r="Y81" s="964"/>
      <c r="AC81" s="964"/>
      <c r="AG81" s="964"/>
      <c r="AK81" s="964"/>
      <c r="AO81" s="964"/>
      <c r="AP81" s="1226"/>
      <c r="AQ81" s="1226"/>
      <c r="AR81" s="1226"/>
      <c r="AS81" s="1226"/>
      <c r="AT81" s="1226"/>
      <c r="AU81" s="1226"/>
      <c r="AV81" s="1226"/>
      <c r="AW81" s="2077"/>
      <c r="AY81" s="1226"/>
      <c r="AZ81" s="1226"/>
      <c r="BA81" s="1226"/>
      <c r="BB81" s="1226"/>
      <c r="BC81" s="1226"/>
      <c r="BD81" s="1258"/>
      <c r="BE81" s="1258"/>
      <c r="BF81" s="1390"/>
      <c r="BL81" s="1041"/>
      <c r="BM81" s="1041"/>
    </row>
    <row r="82" spans="13:65" x14ac:dyDescent="0.2">
      <c r="M82" s="1041"/>
      <c r="Q82" s="1041"/>
      <c r="U82" s="1041"/>
      <c r="Y82" s="1041"/>
      <c r="AC82" s="1041"/>
      <c r="AG82" s="1041"/>
      <c r="AK82" s="1041"/>
      <c r="AO82" s="1041"/>
      <c r="AW82" s="981"/>
      <c r="AY82" s="1226"/>
      <c r="AZ82" s="1226"/>
      <c r="BL82" s="1041"/>
      <c r="BM82" s="1041"/>
    </row>
    <row r="83" spans="13:65" x14ac:dyDescent="0.2">
      <c r="M83" s="1041"/>
      <c r="Q83" s="1041"/>
      <c r="U83" s="1041"/>
      <c r="Y83" s="1041"/>
      <c r="AC83" s="1041"/>
      <c r="AG83" s="1041"/>
      <c r="AK83" s="1041"/>
      <c r="AO83" s="1041"/>
      <c r="AW83" s="981"/>
      <c r="AY83" s="1226"/>
      <c r="AZ83" s="1226"/>
      <c r="BL83" s="1041"/>
      <c r="BM83" s="1041"/>
    </row>
    <row r="84" spans="13:65" x14ac:dyDescent="0.2">
      <c r="M84" s="1178"/>
      <c r="Q84" s="1178"/>
      <c r="U84" s="1178"/>
      <c r="Y84" s="1178"/>
      <c r="AC84" s="1178"/>
      <c r="AG84" s="1178"/>
      <c r="AK84" s="1178"/>
      <c r="AO84" s="1178"/>
      <c r="AW84" s="1178"/>
      <c r="AY84" s="1226"/>
      <c r="AZ84" s="1226"/>
      <c r="BL84" s="964"/>
      <c r="BM84" s="964"/>
    </row>
    <row r="85" spans="13:65" x14ac:dyDescent="0.2">
      <c r="M85" s="964"/>
      <c r="Q85" s="964"/>
      <c r="U85" s="964"/>
      <c r="Y85" s="964"/>
      <c r="AC85" s="964"/>
      <c r="AG85" s="964"/>
      <c r="AK85" s="964"/>
      <c r="AO85" s="964"/>
      <c r="AW85" s="1392"/>
      <c r="AY85" s="1226"/>
      <c r="AZ85" s="1226"/>
      <c r="BL85" s="964"/>
      <c r="BM85" s="964"/>
    </row>
    <row r="86" spans="13:65" x14ac:dyDescent="0.2">
      <c r="M86" s="964"/>
      <c r="Q86" s="964"/>
      <c r="U86" s="964"/>
      <c r="Y86" s="964"/>
      <c r="AC86" s="964"/>
      <c r="AG86" s="964"/>
      <c r="AK86" s="964"/>
      <c r="AO86" s="964"/>
      <c r="AP86" s="964"/>
      <c r="AS86" s="964"/>
      <c r="AU86" s="964"/>
      <c r="AV86" s="964"/>
      <c r="AW86" s="964"/>
      <c r="AY86" s="1226"/>
      <c r="AZ86" s="1226"/>
      <c r="BL86" s="1034"/>
      <c r="BM86" s="1034"/>
    </row>
    <row r="87" spans="13:65" x14ac:dyDescent="0.2">
      <c r="AO87" s="1041"/>
      <c r="AP87" s="1179"/>
      <c r="AQ87" s="1041"/>
      <c r="AR87" s="1041"/>
      <c r="AS87" s="1041"/>
      <c r="AT87" s="1159"/>
      <c r="AU87" s="1159"/>
      <c r="AV87" s="1097"/>
      <c r="AW87" s="989"/>
      <c r="AY87" s="1226"/>
      <c r="AZ87" s="1226"/>
      <c r="BD87" s="1390"/>
      <c r="BE87" s="1390"/>
      <c r="BF87" s="1390"/>
      <c r="BL87" s="1034"/>
      <c r="BM87" s="1034"/>
    </row>
    <row r="88" spans="13:65" x14ac:dyDescent="0.2">
      <c r="AO88" s="1041"/>
      <c r="AP88" s="1041"/>
      <c r="AQ88" s="1041"/>
      <c r="AR88" s="1041"/>
      <c r="AS88" s="1041"/>
      <c r="AT88" s="1092"/>
      <c r="AU88" s="1041"/>
      <c r="AV88" s="1041"/>
      <c r="AW88" s="1041"/>
      <c r="AY88" s="1226"/>
      <c r="AZ88" s="1226"/>
      <c r="BL88" s="1116"/>
      <c r="BM88" s="1116"/>
    </row>
    <row r="89" spans="13:65" x14ac:dyDescent="0.2">
      <c r="AO89" s="981"/>
      <c r="AP89" s="1113"/>
      <c r="AQ89" s="1057"/>
      <c r="AR89" s="1057"/>
      <c r="AS89" s="1057"/>
      <c r="AT89" s="1113"/>
      <c r="AU89" s="1057"/>
      <c r="AV89" s="1057"/>
      <c r="AW89" s="1022"/>
      <c r="AY89" s="1226"/>
      <c r="AZ89" s="1226"/>
      <c r="BL89" s="1021"/>
      <c r="BM89" s="1021"/>
    </row>
    <row r="90" spans="13:65" x14ac:dyDescent="0.2">
      <c r="AO90" s="981"/>
      <c r="AP90" s="1057"/>
      <c r="AQ90" s="1057"/>
      <c r="AR90" s="1057"/>
      <c r="AS90" s="1057"/>
      <c r="AT90" s="1057"/>
      <c r="AU90" s="1057"/>
      <c r="AV90" s="1057"/>
      <c r="AW90" s="1022"/>
      <c r="AY90" s="1226"/>
      <c r="AZ90" s="1226"/>
      <c r="BL90" s="1057"/>
      <c r="BM90" s="1057"/>
    </row>
    <row r="91" spans="13:65" x14ac:dyDescent="0.2">
      <c r="AO91" s="981"/>
      <c r="AP91" s="1057"/>
      <c r="AQ91" s="1057"/>
      <c r="AR91" s="1057"/>
      <c r="AS91" s="1057"/>
      <c r="AT91" s="1057"/>
      <c r="AU91" s="1057"/>
      <c r="AV91" s="1057"/>
      <c r="AW91" s="975"/>
      <c r="AY91" s="1226"/>
      <c r="AZ91" s="1226"/>
      <c r="BL91" s="1057"/>
      <c r="BM91" s="1057"/>
    </row>
    <row r="92" spans="13:65" x14ac:dyDescent="0.2">
      <c r="AO92" s="1057"/>
      <c r="AP92" s="1057"/>
      <c r="AQ92" s="1057"/>
      <c r="AR92" s="1057"/>
      <c r="AS92" s="1057"/>
      <c r="AT92" s="1057"/>
      <c r="AU92" s="1057"/>
      <c r="AV92" s="1057"/>
      <c r="AW92" s="1057"/>
      <c r="AY92" s="1226"/>
      <c r="AZ92" s="1226"/>
      <c r="BL92" s="1120"/>
      <c r="BM92" s="1120"/>
    </row>
    <row r="93" spans="13:65" x14ac:dyDescent="0.2">
      <c r="AO93" s="1120"/>
      <c r="AP93" s="1120"/>
      <c r="AQ93" s="1120"/>
      <c r="AR93" s="1120"/>
      <c r="AS93" s="1120"/>
      <c r="AT93" s="1120"/>
      <c r="AU93" s="1120"/>
      <c r="AV93" s="1120"/>
      <c r="AW93" s="1120"/>
      <c r="AY93" s="1226"/>
      <c r="AZ93" s="1226"/>
      <c r="BL93" s="1120"/>
      <c r="BM93" s="1120"/>
    </row>
    <row r="94" spans="13:65" x14ac:dyDescent="0.2">
      <c r="AO94" s="1120"/>
      <c r="AP94" s="1120"/>
      <c r="AQ94" s="1120"/>
      <c r="AR94" s="1120"/>
      <c r="AS94" s="1120"/>
      <c r="AT94" s="1120"/>
      <c r="AU94" s="1120"/>
      <c r="AV94" s="1120"/>
      <c r="AW94" s="1120"/>
      <c r="AY94" s="1226"/>
      <c r="AZ94" s="1226"/>
      <c r="BL94" s="1226"/>
      <c r="BM94" s="1226"/>
    </row>
    <row r="95" spans="13:65" x14ac:dyDescent="0.2">
      <c r="AO95" s="1226"/>
      <c r="AP95" s="1226"/>
      <c r="AQ95" s="1226"/>
      <c r="AR95" s="1226"/>
      <c r="AS95" s="1226"/>
      <c r="AT95" s="1226"/>
      <c r="AU95" s="1226"/>
      <c r="AV95" s="1226"/>
      <c r="AW95" s="1226"/>
      <c r="AY95" s="1226"/>
      <c r="AZ95" s="1226"/>
      <c r="BL95" s="1226"/>
      <c r="BM95" s="1226"/>
    </row>
    <row r="96" spans="13:65" x14ac:dyDescent="0.2">
      <c r="AO96" s="1226"/>
      <c r="AP96" s="1226"/>
      <c r="AQ96" s="1226"/>
      <c r="AR96" s="1226"/>
      <c r="AS96" s="1226"/>
      <c r="AT96" s="1226"/>
      <c r="AU96" s="1226"/>
      <c r="AV96" s="1226"/>
      <c r="AW96" s="1226"/>
      <c r="AY96" s="1226"/>
      <c r="AZ96" s="1226"/>
      <c r="BL96" s="1226"/>
      <c r="BM96" s="1226"/>
    </row>
    <row r="97" spans="41:65" x14ac:dyDescent="0.2">
      <c r="AO97" s="1226"/>
      <c r="AP97" s="1226"/>
      <c r="AQ97" s="1226"/>
      <c r="AR97" s="1226"/>
      <c r="AS97" s="1226"/>
      <c r="AT97" s="1226"/>
      <c r="AU97" s="1226"/>
      <c r="AV97" s="1226"/>
      <c r="AW97" s="1226"/>
      <c r="AY97" s="1226"/>
      <c r="AZ97" s="1226"/>
      <c r="BL97" s="1226"/>
      <c r="BM97" s="1226"/>
    </row>
    <row r="98" spans="41:65" x14ac:dyDescent="0.2">
      <c r="AO98" s="1226"/>
      <c r="AP98" s="1226"/>
      <c r="AQ98" s="1226"/>
      <c r="AR98" s="1226"/>
      <c r="AS98" s="1226"/>
      <c r="AT98" s="1226"/>
      <c r="AU98" s="1226"/>
      <c r="AV98" s="1226"/>
      <c r="AW98" s="1226"/>
      <c r="AY98" s="1226"/>
      <c r="AZ98" s="1226"/>
      <c r="BL98" s="1226"/>
      <c r="BM98" s="1226"/>
    </row>
    <row r="99" spans="41:65" x14ac:dyDescent="0.2">
      <c r="AO99" s="1226"/>
      <c r="AP99" s="1226"/>
      <c r="AQ99" s="1226"/>
      <c r="AR99" s="1226"/>
      <c r="AS99" s="1226"/>
      <c r="AT99" s="1226"/>
      <c r="AU99" s="1226"/>
      <c r="AV99" s="1226"/>
      <c r="AW99" s="1226"/>
      <c r="AY99" s="1226"/>
      <c r="AZ99" s="1226"/>
    </row>
  </sheetData>
  <mergeCells count="10">
    <mergeCell ref="C65:D65"/>
    <mergeCell ref="BA65:BB65"/>
    <mergeCell ref="C10:D10"/>
    <mergeCell ref="C11:D11"/>
    <mergeCell ref="BA11:BB11"/>
    <mergeCell ref="A31:B31"/>
    <mergeCell ref="C52:D52"/>
    <mergeCell ref="C53:D53"/>
    <mergeCell ref="BA53:BB53"/>
    <mergeCell ref="C64:D64"/>
  </mergeCells>
  <printOptions horizontalCentered="1"/>
  <pageMargins left="0.3" right="0.3" top="0.4" bottom="0.6" header="0" footer="0.3"/>
  <pageSetup scale="56" orientation="landscape" r:id="rId1"/>
  <headerFooter alignWithMargins="0">
    <oddFooter>&amp;L&amp;F&amp;CPage 9</oddFooter>
  </headerFooter>
  <colBreaks count="1" manualBreakCount="1">
    <brk id="66" max="8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1"/>
  <sheetViews>
    <sheetView view="pageBreakPreview" topLeftCell="A17" zoomScale="90" zoomScaleNormal="100" zoomScaleSheetLayoutView="90" workbookViewId="0">
      <pane xSplit="2" topLeftCell="C1" activePane="topRight" state="frozenSplit"/>
      <selection activeCell="B21" sqref="B21:L21"/>
      <selection pane="topRight" activeCell="C64" sqref="C64"/>
    </sheetView>
  </sheetViews>
  <sheetFormatPr defaultRowHeight="12.75" outlineLevelRow="1" x14ac:dyDescent="0.2"/>
  <cols>
    <col min="1" max="1" width="2.7109375" style="485" customWidth="1"/>
    <col min="2" max="2" width="48.140625" style="485" customWidth="1"/>
    <col min="3" max="4" width="9.7109375" style="485" customWidth="1"/>
    <col min="5" max="5" width="1.5703125" style="486" customWidth="1"/>
    <col min="6" max="8" width="9.28515625" style="486" hidden="1" customWidth="1"/>
    <col min="9" max="9" width="9.42578125" style="486" customWidth="1"/>
    <col min="10" max="12" width="9.28515625" style="486" customWidth="1"/>
    <col min="13" max="14" width="9.42578125" style="486" customWidth="1"/>
    <col min="15" max="16" width="9.28515625" style="486" customWidth="1"/>
    <col min="17" max="17" width="9.42578125" style="486" customWidth="1"/>
    <col min="18" max="18" width="9.42578125" style="486" hidden="1" customWidth="1"/>
    <col min="19" max="26" width="9.28515625" style="486" hidden="1" customWidth="1"/>
    <col min="27" max="28" width="9.7109375" style="486" hidden="1" customWidth="1"/>
    <col min="29" max="37" width="9.7109375" style="485" hidden="1" customWidth="1"/>
    <col min="38" max="38" width="1.5703125" style="485" customWidth="1"/>
    <col min="39" max="41" width="10" style="485" hidden="1" customWidth="1"/>
    <col min="42" max="42" width="9.7109375" style="485" hidden="1" customWidth="1"/>
    <col min="43" max="43" width="1.5703125" style="485" hidden="1" customWidth="1"/>
    <col min="44" max="46" width="9.5703125" style="485" customWidth="1"/>
    <col min="47" max="48" width="9.7109375" style="485" customWidth="1"/>
    <col min="49" max="53" width="9.7109375" style="485" hidden="1" customWidth="1"/>
    <col min="54" max="54" width="1.5703125" style="485" customWidth="1"/>
    <col min="55" max="16384" width="9.140625" style="485"/>
  </cols>
  <sheetData>
    <row r="1" spans="1:61" ht="9" customHeight="1" x14ac:dyDescent="0.2"/>
    <row r="3" spans="1:61" x14ac:dyDescent="0.2">
      <c r="AR3" s="350"/>
    </row>
    <row r="4" spans="1:61" x14ac:dyDescent="0.2">
      <c r="AR4" s="350"/>
    </row>
    <row r="5" spans="1:61" ht="6.75" customHeight="1" x14ac:dyDescent="0.2">
      <c r="A5" s="486"/>
      <c r="B5" s="486"/>
      <c r="C5" s="486"/>
      <c r="D5" s="486"/>
      <c r="AC5" s="486"/>
      <c r="AD5" s="486"/>
      <c r="AE5" s="486"/>
      <c r="AM5" s="350"/>
    </row>
    <row r="6" spans="1:61" ht="18" customHeight="1" x14ac:dyDescent="0.2">
      <c r="A6" s="84" t="s">
        <v>315</v>
      </c>
      <c r="B6" s="486"/>
      <c r="C6" s="486"/>
      <c r="D6" s="486"/>
      <c r="F6" s="328"/>
      <c r="G6" s="328"/>
      <c r="H6" s="328"/>
      <c r="I6" s="328"/>
      <c r="J6" s="328"/>
      <c r="K6" s="328"/>
      <c r="L6" s="328"/>
      <c r="M6" s="328"/>
      <c r="AC6" s="486"/>
      <c r="AD6" s="486"/>
      <c r="AE6" s="486"/>
      <c r="AM6" s="350"/>
    </row>
    <row r="7" spans="1:61" ht="18" customHeight="1" x14ac:dyDescent="0.2">
      <c r="A7" s="110" t="s">
        <v>301</v>
      </c>
      <c r="B7" s="4"/>
      <c r="C7" s="4"/>
      <c r="D7" s="4"/>
      <c r="E7" s="4"/>
      <c r="F7" s="4"/>
      <c r="G7" s="4"/>
      <c r="H7" s="4"/>
      <c r="I7" s="4"/>
      <c r="J7" s="4"/>
      <c r="K7" s="4"/>
      <c r="L7" s="4"/>
      <c r="M7" s="4"/>
      <c r="N7" s="4"/>
      <c r="O7" s="4"/>
      <c r="P7" s="4"/>
      <c r="Q7" s="4"/>
      <c r="R7" s="4"/>
      <c r="S7" s="4"/>
      <c r="T7" s="4"/>
      <c r="U7" s="4"/>
      <c r="V7" s="4"/>
      <c r="W7" s="4"/>
      <c r="X7" s="4"/>
      <c r="Y7" s="4"/>
      <c r="Z7" s="4"/>
      <c r="AA7" s="4"/>
      <c r="AB7" s="4"/>
      <c r="AC7" s="486"/>
      <c r="AD7" s="486"/>
      <c r="AE7" s="486"/>
      <c r="AM7" s="357"/>
    </row>
    <row r="8" spans="1:61" ht="15" x14ac:dyDescent="0.2">
      <c r="A8" s="515" t="s">
        <v>264</v>
      </c>
      <c r="B8" s="4"/>
      <c r="C8" s="4"/>
      <c r="D8" s="4"/>
      <c r="E8" s="4"/>
      <c r="F8" s="4"/>
      <c r="G8" s="4"/>
      <c r="H8" s="4"/>
      <c r="I8" s="4"/>
      <c r="J8" s="4"/>
      <c r="K8" s="4"/>
      <c r="L8" s="4"/>
      <c r="M8" s="4"/>
      <c r="N8" s="4"/>
      <c r="O8" s="4"/>
      <c r="P8" s="4"/>
      <c r="Q8" s="4"/>
      <c r="R8" s="4"/>
      <c r="S8" s="4"/>
      <c r="T8" s="4"/>
      <c r="U8" s="4"/>
      <c r="V8" s="4"/>
      <c r="W8" s="4"/>
      <c r="X8" s="4"/>
      <c r="Y8" s="4"/>
      <c r="Z8" s="4"/>
      <c r="AA8" s="4"/>
      <c r="AB8" s="4"/>
      <c r="AC8" s="486"/>
      <c r="AD8" s="486"/>
      <c r="AE8" s="486"/>
    </row>
    <row r="9" spans="1:61" ht="9.75" customHeight="1" x14ac:dyDescent="0.2">
      <c r="A9" s="2"/>
      <c r="B9" s="2"/>
      <c r="C9" s="2"/>
      <c r="D9" s="2"/>
      <c r="E9" s="2"/>
      <c r="F9" s="284"/>
      <c r="G9" s="284"/>
      <c r="H9" s="284"/>
      <c r="I9" s="2"/>
      <c r="J9" s="284"/>
      <c r="K9" s="284"/>
      <c r="L9" s="284"/>
      <c r="M9" s="2"/>
      <c r="N9" s="284"/>
      <c r="O9" s="2"/>
      <c r="P9" s="284"/>
      <c r="Q9" s="2"/>
      <c r="R9" s="284"/>
      <c r="S9" s="2"/>
      <c r="T9" s="284"/>
      <c r="U9" s="2"/>
      <c r="V9" s="284"/>
      <c r="W9" s="2"/>
      <c r="X9" s="284"/>
      <c r="Y9" s="2"/>
      <c r="Z9" s="284"/>
      <c r="AA9" s="2"/>
      <c r="AB9" s="2"/>
      <c r="AC9" s="486"/>
      <c r="AD9" s="486"/>
      <c r="AE9" s="486"/>
      <c r="AO9" s="369"/>
      <c r="AP9" s="369"/>
      <c r="AY9" s="486"/>
      <c r="AZ9" s="486"/>
      <c r="BA9" s="486"/>
    </row>
    <row r="10" spans="1:61" x14ac:dyDescent="0.2">
      <c r="A10" s="5" t="s">
        <v>1</v>
      </c>
      <c r="B10" s="6"/>
      <c r="C10" s="2493"/>
      <c r="D10" s="2494"/>
      <c r="E10" s="187"/>
      <c r="F10" s="276"/>
      <c r="G10" s="276"/>
      <c r="H10" s="276"/>
      <c r="I10" s="17"/>
      <c r="J10" s="276"/>
      <c r="K10" s="276"/>
      <c r="L10" s="276"/>
      <c r="M10" s="17"/>
      <c r="N10" s="15"/>
      <c r="O10" s="16"/>
      <c r="P10" s="276"/>
      <c r="Q10" s="17"/>
      <c r="R10" s="15"/>
      <c r="S10" s="16"/>
      <c r="T10" s="276"/>
      <c r="U10" s="17"/>
      <c r="W10" s="16"/>
      <c r="X10" s="2"/>
      <c r="Y10" s="17"/>
      <c r="Z10" s="16"/>
      <c r="AB10" s="276"/>
      <c r="AC10" s="17"/>
      <c r="AD10" s="16"/>
      <c r="AE10" s="16"/>
      <c r="AF10" s="16"/>
      <c r="AG10" s="16"/>
      <c r="AH10" s="20"/>
      <c r="AI10" s="17"/>
      <c r="AJ10" s="17"/>
      <c r="AK10" s="17"/>
      <c r="AL10" s="22"/>
      <c r="AM10" s="450" t="s">
        <v>311</v>
      </c>
      <c r="AN10" s="438"/>
      <c r="AO10" s="438" t="s">
        <v>296</v>
      </c>
      <c r="AP10" s="439"/>
      <c r="AQ10" s="13"/>
      <c r="AR10" s="46"/>
      <c r="AS10" s="46"/>
      <c r="AT10" s="46"/>
      <c r="AU10" s="46"/>
      <c r="AV10" s="46"/>
      <c r="AW10" s="15"/>
      <c r="AX10" s="20"/>
      <c r="AY10" s="46"/>
      <c r="AZ10" s="577"/>
      <c r="BA10" s="578"/>
      <c r="BB10" s="23"/>
    </row>
    <row r="11" spans="1:61" ht="13.5" x14ac:dyDescent="0.2">
      <c r="A11" s="5" t="s">
        <v>2</v>
      </c>
      <c r="B11" s="6"/>
      <c r="C11" s="2495"/>
      <c r="D11" s="2496"/>
      <c r="E11" s="358"/>
      <c r="F11" s="19" t="s">
        <v>330</v>
      </c>
      <c r="G11" s="19" t="s">
        <v>329</v>
      </c>
      <c r="H11" s="19" t="s">
        <v>328</v>
      </c>
      <c r="I11" s="12" t="s">
        <v>326</v>
      </c>
      <c r="J11" s="19" t="s">
        <v>282</v>
      </c>
      <c r="K11" s="19" t="s">
        <v>283</v>
      </c>
      <c r="L11" s="19" t="s">
        <v>284</v>
      </c>
      <c r="M11" s="12" t="s">
        <v>285</v>
      </c>
      <c r="N11" s="18" t="s">
        <v>220</v>
      </c>
      <c r="O11" s="19" t="s">
        <v>221</v>
      </c>
      <c r="P11" s="19" t="s">
        <v>222</v>
      </c>
      <c r="Q11" s="12" t="s">
        <v>219</v>
      </c>
      <c r="R11" s="18" t="s">
        <v>185</v>
      </c>
      <c r="S11" s="19" t="s">
        <v>186</v>
      </c>
      <c r="T11" s="19" t="s">
        <v>187</v>
      </c>
      <c r="U11" s="12" t="s">
        <v>188</v>
      </c>
      <c r="V11" s="19" t="s">
        <v>118</v>
      </c>
      <c r="W11" s="19" t="s">
        <v>117</v>
      </c>
      <c r="X11" s="19" t="s">
        <v>116</v>
      </c>
      <c r="Y11" s="12" t="s">
        <v>115</v>
      </c>
      <c r="Z11" s="19" t="s">
        <v>83</v>
      </c>
      <c r="AA11" s="19" t="s">
        <v>84</v>
      </c>
      <c r="AB11" s="19" t="s">
        <v>85</v>
      </c>
      <c r="AC11" s="12" t="s">
        <v>30</v>
      </c>
      <c r="AD11" s="19" t="s">
        <v>31</v>
      </c>
      <c r="AE11" s="19" t="s">
        <v>32</v>
      </c>
      <c r="AF11" s="19" t="s">
        <v>33</v>
      </c>
      <c r="AG11" s="19" t="s">
        <v>34</v>
      </c>
      <c r="AH11" s="21" t="s">
        <v>35</v>
      </c>
      <c r="AI11" s="12" t="s">
        <v>36</v>
      </c>
      <c r="AJ11" s="12" t="s">
        <v>37</v>
      </c>
      <c r="AK11" s="12" t="s">
        <v>38</v>
      </c>
      <c r="AL11" s="187"/>
      <c r="AM11" s="19" t="s">
        <v>283</v>
      </c>
      <c r="AN11" s="19" t="s">
        <v>221</v>
      </c>
      <c r="AO11" s="2498" t="s">
        <v>39</v>
      </c>
      <c r="AP11" s="2499"/>
      <c r="AQ11" s="573"/>
      <c r="AR11" s="18" t="s">
        <v>287</v>
      </c>
      <c r="AS11" s="18" t="s">
        <v>224</v>
      </c>
      <c r="AT11" s="18"/>
      <c r="AU11" s="18"/>
      <c r="AV11" s="18"/>
      <c r="AW11" s="18"/>
      <c r="AX11" s="21"/>
      <c r="AY11" s="21"/>
      <c r="AZ11" s="21"/>
      <c r="BA11" s="18"/>
      <c r="BB11" s="23"/>
      <c r="BC11" s="486"/>
      <c r="BD11" s="486"/>
      <c r="BG11" s="486"/>
      <c r="BH11" s="486"/>
      <c r="BI11" s="486"/>
    </row>
    <row r="12" spans="1:61" x14ac:dyDescent="0.2">
      <c r="A12" s="5"/>
      <c r="B12" s="6"/>
      <c r="C12" s="576"/>
      <c r="D12" s="574"/>
      <c r="E12" s="358"/>
      <c r="F12" s="426" t="s">
        <v>240</v>
      </c>
      <c r="G12" s="426" t="s">
        <v>240</v>
      </c>
      <c r="H12" s="426" t="s">
        <v>240</v>
      </c>
      <c r="I12" s="427" t="s">
        <v>240</v>
      </c>
      <c r="J12" s="426" t="s">
        <v>240</v>
      </c>
      <c r="K12" s="426" t="s">
        <v>240</v>
      </c>
      <c r="L12" s="426" t="s">
        <v>240</v>
      </c>
      <c r="M12" s="427" t="s">
        <v>240</v>
      </c>
      <c r="N12" s="425" t="s">
        <v>240</v>
      </c>
      <c r="O12" s="426" t="s">
        <v>240</v>
      </c>
      <c r="P12" s="426" t="s">
        <v>240</v>
      </c>
      <c r="Q12" s="427" t="s">
        <v>240</v>
      </c>
      <c r="R12" s="425" t="s">
        <v>240</v>
      </c>
      <c r="S12" s="426" t="s">
        <v>240</v>
      </c>
      <c r="T12" s="426" t="s">
        <v>240</v>
      </c>
      <c r="U12" s="427" t="s">
        <v>240</v>
      </c>
      <c r="V12" s="425" t="s">
        <v>241</v>
      </c>
      <c r="W12" s="426" t="s">
        <v>241</v>
      </c>
      <c r="X12" s="426" t="s">
        <v>241</v>
      </c>
      <c r="Y12" s="427" t="s">
        <v>241</v>
      </c>
      <c r="Z12" s="13"/>
      <c r="AA12" s="13"/>
      <c r="AB12" s="13"/>
      <c r="AC12" s="162"/>
      <c r="AD12" s="13"/>
      <c r="AE12" s="13"/>
      <c r="AF12" s="13"/>
      <c r="AG12" s="13"/>
      <c r="AH12" s="187"/>
      <c r="AI12" s="162"/>
      <c r="AJ12" s="162"/>
      <c r="AK12" s="162"/>
      <c r="AL12" s="187"/>
      <c r="AM12" s="425" t="s">
        <v>240</v>
      </c>
      <c r="AN12" s="426" t="s">
        <v>240</v>
      </c>
      <c r="AO12" s="440"/>
      <c r="AP12" s="441"/>
      <c r="AQ12" s="573"/>
      <c r="AR12" s="425" t="s">
        <v>240</v>
      </c>
      <c r="AS12" s="425" t="s">
        <v>240</v>
      </c>
      <c r="AT12" s="425"/>
      <c r="AU12" s="425"/>
      <c r="AV12" s="425"/>
      <c r="AW12" s="425"/>
      <c r="AX12" s="428"/>
      <c r="AY12" s="187"/>
      <c r="AZ12" s="187"/>
      <c r="BA12" s="161"/>
      <c r="BB12" s="23"/>
      <c r="BC12" s="486"/>
      <c r="BD12" s="486"/>
      <c r="BG12" s="486"/>
      <c r="BH12" s="486"/>
      <c r="BI12" s="486"/>
    </row>
    <row r="13" spans="1:61" ht="12.75" customHeight="1" x14ac:dyDescent="0.2">
      <c r="A13" s="413" t="s">
        <v>61</v>
      </c>
      <c r="B13" s="7"/>
      <c r="C13" s="108"/>
      <c r="D13" s="110"/>
      <c r="E13" s="47"/>
      <c r="F13" s="488"/>
      <c r="G13" s="488"/>
      <c r="H13" s="488"/>
      <c r="I13" s="110"/>
      <c r="J13" s="488"/>
      <c r="K13" s="488"/>
      <c r="L13" s="488"/>
      <c r="M13" s="110"/>
      <c r="N13" s="488"/>
      <c r="O13" s="488"/>
      <c r="P13" s="488"/>
      <c r="Q13" s="110"/>
      <c r="R13" s="488"/>
      <c r="S13" s="488"/>
      <c r="T13" s="488"/>
      <c r="U13" s="110"/>
      <c r="V13" s="488"/>
      <c r="W13" s="488"/>
      <c r="X13" s="488"/>
      <c r="Y13" s="110"/>
      <c r="Z13" s="488"/>
      <c r="AA13" s="488"/>
      <c r="AB13" s="488"/>
      <c r="AC13" s="110"/>
      <c r="AD13" s="129"/>
      <c r="AE13" s="488"/>
      <c r="AF13" s="488"/>
      <c r="AH13" s="20"/>
      <c r="AI13" s="24"/>
      <c r="AJ13" s="24"/>
      <c r="AK13" s="17"/>
      <c r="AL13" s="47"/>
      <c r="AM13" s="488"/>
      <c r="AN13" s="488"/>
      <c r="AO13" s="488"/>
      <c r="AP13" s="110"/>
      <c r="AQ13" s="487"/>
      <c r="AR13" s="47"/>
      <c r="AS13" s="47"/>
      <c r="AT13" s="47"/>
      <c r="AU13" s="47"/>
      <c r="AV13" s="47"/>
      <c r="AW13" s="108"/>
      <c r="AX13" s="47"/>
      <c r="AY13" s="228"/>
      <c r="AZ13" s="228"/>
      <c r="BA13" s="472"/>
      <c r="BB13" s="23"/>
      <c r="BC13" s="486"/>
      <c r="BD13" s="486"/>
      <c r="BG13" s="486"/>
    </row>
    <row r="14" spans="1:61" ht="12.75" customHeight="1" x14ac:dyDescent="0.2">
      <c r="A14" s="6"/>
      <c r="B14" s="494" t="s">
        <v>295</v>
      </c>
      <c r="C14" s="464"/>
      <c r="D14" s="503"/>
      <c r="E14" s="502"/>
      <c r="F14" s="507"/>
      <c r="G14" s="507"/>
      <c r="H14" s="507"/>
      <c r="I14" s="146">
        <v>755</v>
      </c>
      <c r="J14" s="507">
        <v>1298</v>
      </c>
      <c r="K14" s="507">
        <v>178</v>
      </c>
      <c r="L14" s="507">
        <v>1153</v>
      </c>
      <c r="M14" s="146">
        <v>844</v>
      </c>
      <c r="N14" s="493">
        <v>0</v>
      </c>
      <c r="O14" s="493">
        <v>0</v>
      </c>
      <c r="P14" s="493">
        <v>0</v>
      </c>
      <c r="Q14" s="112">
        <v>0</v>
      </c>
      <c r="R14" s="493">
        <v>0</v>
      </c>
      <c r="S14" s="493">
        <v>0</v>
      </c>
      <c r="T14" s="493">
        <v>0</v>
      </c>
      <c r="U14" s="112">
        <v>0</v>
      </c>
      <c r="V14" s="507"/>
      <c r="W14" s="507"/>
      <c r="X14" s="507"/>
      <c r="Y14" s="146"/>
      <c r="Z14" s="507"/>
      <c r="AA14" s="507"/>
      <c r="AB14" s="507"/>
      <c r="AC14" s="146"/>
      <c r="AD14" s="117"/>
      <c r="AE14" s="142"/>
      <c r="AF14" s="142"/>
      <c r="AG14" s="493"/>
      <c r="AH14" s="414"/>
      <c r="AI14" s="112"/>
      <c r="AJ14" s="112"/>
      <c r="AK14" s="112"/>
      <c r="AL14" s="47"/>
      <c r="AM14" s="493">
        <f>SUM(K14:M14)</f>
        <v>2175</v>
      </c>
      <c r="AN14" s="493">
        <f>SUM(O14:Q14)</f>
        <v>0</v>
      </c>
      <c r="AO14" s="512">
        <f>AR14-AS14</f>
        <v>3473</v>
      </c>
      <c r="AP14" s="327" t="s">
        <v>42</v>
      </c>
      <c r="AQ14" s="487"/>
      <c r="AR14" s="504">
        <f>SUM(J14:M14)</f>
        <v>3473</v>
      </c>
      <c r="AS14" s="415"/>
      <c r="AT14" s="415"/>
      <c r="AU14" s="415"/>
      <c r="AV14" s="415"/>
      <c r="AW14" s="415"/>
      <c r="AX14" s="504"/>
      <c r="AY14" s="229"/>
      <c r="AZ14" s="229"/>
      <c r="BA14" s="229"/>
      <c r="BB14" s="488"/>
      <c r="BD14" s="486"/>
      <c r="BG14" s="486"/>
    </row>
    <row r="15" spans="1:61" ht="12.75" customHeight="1" x14ac:dyDescent="0.2">
      <c r="A15" s="7"/>
      <c r="B15" s="6"/>
      <c r="C15" s="113"/>
      <c r="D15" s="114"/>
      <c r="E15" s="502"/>
      <c r="F15" s="272">
        <f t="shared" ref="F15:N15" si="0">SUM(F14:F14)</f>
        <v>0</v>
      </c>
      <c r="G15" s="272">
        <f t="shared" si="0"/>
        <v>0</v>
      </c>
      <c r="H15" s="272">
        <f t="shared" si="0"/>
        <v>0</v>
      </c>
      <c r="I15" s="151">
        <f t="shared" si="0"/>
        <v>755</v>
      </c>
      <c r="J15" s="272">
        <f t="shared" si="0"/>
        <v>1298</v>
      </c>
      <c r="K15" s="272">
        <f t="shared" si="0"/>
        <v>178</v>
      </c>
      <c r="L15" s="272">
        <f t="shared" si="0"/>
        <v>1153</v>
      </c>
      <c r="M15" s="151">
        <f t="shared" si="0"/>
        <v>844</v>
      </c>
      <c r="N15" s="272">
        <f t="shared" si="0"/>
        <v>0</v>
      </c>
      <c r="O15" s="272">
        <f>SUM(O14:O14)</f>
        <v>0</v>
      </c>
      <c r="P15" s="272">
        <f>SUM(P14:P14)</f>
        <v>0</v>
      </c>
      <c r="Q15" s="272">
        <f>SUM(Q14:Q14)</f>
        <v>0</v>
      </c>
      <c r="R15" s="272">
        <v>72704</v>
      </c>
      <c r="S15" s="272">
        <v>68599</v>
      </c>
      <c r="T15" s="272">
        <v>44539</v>
      </c>
      <c r="U15" s="151">
        <v>47207</v>
      </c>
      <c r="V15" s="272">
        <v>54990</v>
      </c>
      <c r="W15" s="272">
        <v>51733</v>
      </c>
      <c r="X15" s="272">
        <v>40138</v>
      </c>
      <c r="Y15" s="151">
        <v>40185</v>
      </c>
      <c r="Z15" s="272">
        <v>37255</v>
      </c>
      <c r="AA15" s="272">
        <v>33532</v>
      </c>
      <c r="AB15" s="272">
        <v>43844</v>
      </c>
      <c r="AC15" s="151">
        <v>57853</v>
      </c>
      <c r="AD15" s="120">
        <v>54463</v>
      </c>
      <c r="AE15" s="150">
        <v>61166</v>
      </c>
      <c r="AF15" s="150">
        <v>57415</v>
      </c>
      <c r="AG15" s="150">
        <v>76083</v>
      </c>
      <c r="AH15" s="115">
        <v>75876</v>
      </c>
      <c r="AI15" s="151">
        <v>68831</v>
      </c>
      <c r="AJ15" s="151">
        <v>55626</v>
      </c>
      <c r="AK15" s="151">
        <v>72286</v>
      </c>
      <c r="AL15" s="47"/>
      <c r="AM15" s="522">
        <f>SUM(AM14:AM14)</f>
        <v>2175</v>
      </c>
      <c r="AN15" s="522">
        <f>SUM(AN14:AN14)</f>
        <v>0</v>
      </c>
      <c r="AO15" s="272">
        <f>AR15-AS15</f>
        <v>3473</v>
      </c>
      <c r="AP15" s="114" t="e">
        <f>IF(OR((AO15/AS15)&gt;3,(AO15/AS15)&lt;-3),"n.m.",(AO15/AS15))</f>
        <v>#DIV/0!</v>
      </c>
      <c r="AQ15" s="487"/>
      <c r="AR15" s="133">
        <f>SUM(AR14:AR14)</f>
        <v>3473</v>
      </c>
      <c r="AS15" s="133"/>
      <c r="AT15" s="133"/>
      <c r="AU15" s="133"/>
      <c r="AV15" s="133"/>
      <c r="AW15" s="133"/>
      <c r="AX15" s="133"/>
      <c r="AY15" s="230"/>
      <c r="AZ15" s="230"/>
      <c r="BA15" s="230"/>
      <c r="BB15" s="488"/>
      <c r="BD15" s="486"/>
      <c r="BG15" s="486"/>
    </row>
    <row r="16" spans="1:61" ht="12.75" customHeight="1" x14ac:dyDescent="0.2">
      <c r="A16" s="413" t="s">
        <v>5</v>
      </c>
      <c r="B16" s="6"/>
      <c r="C16" s="464"/>
      <c r="D16" s="503"/>
      <c r="E16" s="502"/>
      <c r="F16" s="507"/>
      <c r="G16" s="507"/>
      <c r="H16" s="507"/>
      <c r="I16" s="146"/>
      <c r="J16" s="507"/>
      <c r="K16" s="507"/>
      <c r="L16" s="507"/>
      <c r="M16" s="146"/>
      <c r="N16" s="507"/>
      <c r="O16" s="507"/>
      <c r="P16" s="507"/>
      <c r="Q16" s="146"/>
      <c r="R16" s="507"/>
      <c r="S16" s="507"/>
      <c r="T16" s="507"/>
      <c r="U16" s="146"/>
      <c r="V16" s="507"/>
      <c r="W16" s="507"/>
      <c r="X16" s="507"/>
      <c r="Y16" s="146"/>
      <c r="Z16" s="507"/>
      <c r="AA16" s="507"/>
      <c r="AB16" s="507"/>
      <c r="AC16" s="146"/>
      <c r="AD16" s="117"/>
      <c r="AE16" s="142"/>
      <c r="AF16" s="142"/>
      <c r="AG16" s="142"/>
      <c r="AH16" s="491"/>
      <c r="AI16" s="146"/>
      <c r="AJ16" s="146"/>
      <c r="AK16" s="146"/>
      <c r="AL16" s="47"/>
      <c r="AM16" s="493"/>
      <c r="AN16" s="493"/>
      <c r="AO16" s="512"/>
      <c r="AP16" s="503"/>
      <c r="AQ16" s="487"/>
      <c r="AR16" s="134"/>
      <c r="AS16" s="134"/>
      <c r="AT16" s="134"/>
      <c r="AU16" s="134"/>
      <c r="AV16" s="134"/>
      <c r="AW16" s="504"/>
      <c r="AX16" s="504"/>
      <c r="AY16" s="229"/>
      <c r="AZ16" s="229"/>
      <c r="BA16" s="229"/>
      <c r="BB16" s="488"/>
      <c r="BD16" s="486"/>
      <c r="BG16" s="486"/>
    </row>
    <row r="17" spans="1:59" ht="12.75" customHeight="1" x14ac:dyDescent="0.2">
      <c r="A17" s="413"/>
      <c r="B17" s="6" t="s">
        <v>304</v>
      </c>
      <c r="C17" s="464"/>
      <c r="D17" s="503"/>
      <c r="E17" s="502"/>
      <c r="F17" s="507"/>
      <c r="G17" s="507"/>
      <c r="H17" s="507"/>
      <c r="I17" s="146">
        <v>681</v>
      </c>
      <c r="J17" s="507">
        <v>750</v>
      </c>
      <c r="K17" s="507">
        <v>810</v>
      </c>
      <c r="L17" s="507">
        <v>332</v>
      </c>
      <c r="M17" s="146">
        <v>570</v>
      </c>
      <c r="N17" s="507"/>
      <c r="O17" s="507"/>
      <c r="P17" s="507"/>
      <c r="Q17" s="146"/>
      <c r="R17" s="507">
        <v>33880</v>
      </c>
      <c r="S17" s="507">
        <v>33144</v>
      </c>
      <c r="T17" s="507">
        <v>20664</v>
      </c>
      <c r="U17" s="146"/>
      <c r="V17" s="507"/>
      <c r="W17" s="507"/>
      <c r="X17" s="507"/>
      <c r="Y17" s="146"/>
      <c r="Z17" s="507"/>
      <c r="AA17" s="507"/>
      <c r="AB17" s="507"/>
      <c r="AC17" s="146"/>
      <c r="AD17" s="117"/>
      <c r="AE17" s="142"/>
      <c r="AF17" s="142"/>
      <c r="AG17" s="142"/>
      <c r="AH17" s="491"/>
      <c r="AI17" s="146"/>
      <c r="AJ17" s="146"/>
      <c r="AK17" s="146"/>
      <c r="AL17" s="47"/>
      <c r="AM17" s="493">
        <f t="shared" ref="AM17:AM30" si="1">SUM(K17:M17)</f>
        <v>1712</v>
      </c>
      <c r="AN17" s="493">
        <f t="shared" ref="AN17:AN30" si="2">SUM(O17:Q17)</f>
        <v>0</v>
      </c>
      <c r="AO17" s="512">
        <f t="shared" ref="AO17:AO28" si="3">AR17-AS17</f>
        <v>2462</v>
      </c>
      <c r="AP17" s="503" t="e">
        <f t="shared" ref="AP17:AP28" si="4">IF(OR((AO17/AS17)&gt;3,(AO17/AS17)&lt;-3),"n.m.",(AO17/AS17))</f>
        <v>#DIV/0!</v>
      </c>
      <c r="AQ17" s="487"/>
      <c r="AR17" s="504">
        <f t="shared" ref="AR17:AR30" si="5">SUM(J17:M17)</f>
        <v>2462</v>
      </c>
      <c r="AS17" s="504"/>
      <c r="AT17" s="504"/>
      <c r="AU17" s="504"/>
      <c r="AV17" s="504"/>
      <c r="AW17" s="504"/>
      <c r="AX17" s="504"/>
      <c r="AY17" s="229"/>
      <c r="AZ17" s="229"/>
      <c r="BA17" s="229"/>
      <c r="BB17" s="488"/>
      <c r="BD17" s="486"/>
      <c r="BG17" s="486"/>
    </row>
    <row r="18" spans="1:59" ht="12.75" customHeight="1" x14ac:dyDescent="0.2">
      <c r="A18" s="413"/>
      <c r="B18" s="6" t="s">
        <v>305</v>
      </c>
      <c r="C18" s="270"/>
      <c r="D18" s="95"/>
      <c r="E18" s="502"/>
      <c r="F18" s="274"/>
      <c r="G18" s="274"/>
      <c r="H18" s="274"/>
      <c r="I18" s="149">
        <v>0</v>
      </c>
      <c r="J18" s="274">
        <v>2</v>
      </c>
      <c r="K18" s="274">
        <v>16</v>
      </c>
      <c r="L18" s="274">
        <v>0</v>
      </c>
      <c r="M18" s="149">
        <v>0</v>
      </c>
      <c r="N18" s="274"/>
      <c r="O18" s="274"/>
      <c r="P18" s="274"/>
      <c r="Q18" s="149"/>
      <c r="R18" s="274">
        <v>1641</v>
      </c>
      <c r="S18" s="274">
        <v>2757</v>
      </c>
      <c r="T18" s="274">
        <v>897</v>
      </c>
      <c r="U18" s="146"/>
      <c r="V18" s="507"/>
      <c r="W18" s="507"/>
      <c r="X18" s="507"/>
      <c r="Y18" s="146"/>
      <c r="Z18" s="507"/>
      <c r="AA18" s="507"/>
      <c r="AB18" s="507"/>
      <c r="AC18" s="146"/>
      <c r="AD18" s="117"/>
      <c r="AE18" s="142"/>
      <c r="AF18" s="142"/>
      <c r="AG18" s="142"/>
      <c r="AH18" s="491"/>
      <c r="AI18" s="146"/>
      <c r="AJ18" s="146"/>
      <c r="AK18" s="146"/>
      <c r="AL18" s="47"/>
      <c r="AM18" s="253">
        <f t="shared" si="1"/>
        <v>16</v>
      </c>
      <c r="AN18" s="253">
        <f t="shared" si="2"/>
        <v>0</v>
      </c>
      <c r="AO18" s="103">
        <f t="shared" si="3"/>
        <v>18</v>
      </c>
      <c r="AP18" s="95" t="e">
        <f t="shared" si="4"/>
        <v>#DIV/0!</v>
      </c>
      <c r="AQ18" s="487"/>
      <c r="AR18" s="137">
        <f t="shared" si="5"/>
        <v>18</v>
      </c>
      <c r="AS18" s="137"/>
      <c r="AT18" s="137"/>
      <c r="AU18" s="137"/>
      <c r="AV18" s="137"/>
      <c r="AW18" s="137"/>
      <c r="AX18" s="504"/>
      <c r="AY18" s="229"/>
      <c r="AZ18" s="229"/>
      <c r="BA18" s="229"/>
      <c r="BB18" s="488"/>
      <c r="BD18" s="486"/>
      <c r="BG18" s="486"/>
    </row>
    <row r="19" spans="1:59" ht="12.75" customHeight="1" x14ac:dyDescent="0.2">
      <c r="A19" s="7"/>
      <c r="B19" s="487" t="s">
        <v>208</v>
      </c>
      <c r="C19" s="464"/>
      <c r="D19" s="503"/>
      <c r="E19" s="502"/>
      <c r="F19" s="507">
        <f t="shared" ref="F19:M19" si="6">SUM(F17:F18)</f>
        <v>0</v>
      </c>
      <c r="G19" s="507">
        <f t="shared" si="6"/>
        <v>0</v>
      </c>
      <c r="H19" s="507">
        <f t="shared" si="6"/>
        <v>0</v>
      </c>
      <c r="I19" s="146">
        <f t="shared" si="6"/>
        <v>681</v>
      </c>
      <c r="J19" s="507">
        <f t="shared" si="6"/>
        <v>752</v>
      </c>
      <c r="K19" s="507">
        <f t="shared" si="6"/>
        <v>826</v>
      </c>
      <c r="L19" s="507">
        <f t="shared" si="6"/>
        <v>332</v>
      </c>
      <c r="M19" s="146">
        <f t="shared" si="6"/>
        <v>570</v>
      </c>
      <c r="N19" s="507"/>
      <c r="O19" s="507"/>
      <c r="P19" s="507"/>
      <c r="Q19" s="146"/>
      <c r="R19" s="507">
        <v>35521</v>
      </c>
      <c r="S19" s="507">
        <v>35901</v>
      </c>
      <c r="T19" s="507">
        <v>21561</v>
      </c>
      <c r="U19" s="146">
        <v>23281</v>
      </c>
      <c r="V19" s="507">
        <v>26203</v>
      </c>
      <c r="W19" s="507">
        <v>24376</v>
      </c>
      <c r="X19" s="507">
        <v>19368</v>
      </c>
      <c r="Y19" s="146">
        <v>18643</v>
      </c>
      <c r="Z19" s="507">
        <v>13122</v>
      </c>
      <c r="AA19" s="507">
        <v>14195</v>
      </c>
      <c r="AB19" s="507">
        <v>20116</v>
      </c>
      <c r="AC19" s="146">
        <v>26950</v>
      </c>
      <c r="AD19" s="117">
        <v>24166</v>
      </c>
      <c r="AE19" s="142">
        <v>28443</v>
      </c>
      <c r="AF19" s="142">
        <v>25351</v>
      </c>
      <c r="AG19" s="142">
        <v>37680</v>
      </c>
      <c r="AH19" s="491">
        <v>36567</v>
      </c>
      <c r="AI19" s="146">
        <v>31848</v>
      </c>
      <c r="AJ19" s="146">
        <v>24885</v>
      </c>
      <c r="AK19" s="146">
        <v>33368</v>
      </c>
      <c r="AL19" s="47"/>
      <c r="AM19" s="493">
        <f t="shared" si="1"/>
        <v>1728</v>
      </c>
      <c r="AN19" s="493">
        <f t="shared" si="2"/>
        <v>0</v>
      </c>
      <c r="AO19" s="512">
        <f t="shared" si="3"/>
        <v>2480</v>
      </c>
      <c r="AP19" s="503" t="e">
        <f t="shared" si="4"/>
        <v>#DIV/0!</v>
      </c>
      <c r="AQ19" s="487"/>
      <c r="AR19" s="504">
        <f>SUM(AR17:AR18)</f>
        <v>2480</v>
      </c>
      <c r="AS19" s="504"/>
      <c r="AT19" s="504"/>
      <c r="AU19" s="504"/>
      <c r="AV19" s="504"/>
      <c r="AW19" s="504"/>
      <c r="AX19" s="504"/>
      <c r="AY19" s="229"/>
      <c r="AZ19" s="229"/>
      <c r="BA19" s="229"/>
      <c r="BB19" s="488"/>
      <c r="BD19" s="486"/>
      <c r="BG19" s="486"/>
    </row>
    <row r="20" spans="1:59" ht="12.75" customHeight="1" x14ac:dyDescent="0.2">
      <c r="A20" s="7"/>
      <c r="B20" s="494" t="s">
        <v>66</v>
      </c>
      <c r="C20" s="464"/>
      <c r="D20" s="503"/>
      <c r="E20" s="502"/>
      <c r="F20" s="507"/>
      <c r="G20" s="507"/>
      <c r="H20" s="507"/>
      <c r="I20" s="146">
        <v>6</v>
      </c>
      <c r="J20" s="507">
        <v>53</v>
      </c>
      <c r="K20" s="507">
        <v>17</v>
      </c>
      <c r="L20" s="507">
        <v>0</v>
      </c>
      <c r="M20" s="146">
        <v>1</v>
      </c>
      <c r="N20" s="507"/>
      <c r="O20" s="507"/>
      <c r="P20" s="507"/>
      <c r="Q20" s="146"/>
      <c r="R20" s="507">
        <v>5565</v>
      </c>
      <c r="S20" s="507">
        <v>3601</v>
      </c>
      <c r="T20" s="507">
        <v>4817</v>
      </c>
      <c r="U20" s="146">
        <v>3882</v>
      </c>
      <c r="V20" s="507">
        <v>5573</v>
      </c>
      <c r="W20" s="507">
        <v>4015</v>
      </c>
      <c r="X20" s="507">
        <v>4360</v>
      </c>
      <c r="Y20" s="146">
        <v>4246</v>
      </c>
      <c r="Z20" s="507">
        <v>4505</v>
      </c>
      <c r="AA20" s="507">
        <v>3057</v>
      </c>
      <c r="AB20" s="507">
        <v>3477</v>
      </c>
      <c r="AC20" s="146">
        <v>3781</v>
      </c>
      <c r="AD20" s="117">
        <v>4683</v>
      </c>
      <c r="AE20" s="142">
        <v>3272</v>
      </c>
      <c r="AF20" s="142">
        <v>3510</v>
      </c>
      <c r="AG20" s="142">
        <v>4049</v>
      </c>
      <c r="AH20" s="491">
        <v>4303</v>
      </c>
      <c r="AI20" s="146">
        <v>3039</v>
      </c>
      <c r="AJ20" s="146">
        <v>2854</v>
      </c>
      <c r="AK20" s="146">
        <v>3430</v>
      </c>
      <c r="AL20" s="47"/>
      <c r="AM20" s="493">
        <f t="shared" si="1"/>
        <v>18</v>
      </c>
      <c r="AN20" s="493">
        <f t="shared" si="2"/>
        <v>0</v>
      </c>
      <c r="AO20" s="512">
        <f t="shared" si="3"/>
        <v>71</v>
      </c>
      <c r="AP20" s="503" t="e">
        <f t="shared" si="4"/>
        <v>#DIV/0!</v>
      </c>
      <c r="AQ20" s="487"/>
      <c r="AR20" s="504">
        <f t="shared" si="5"/>
        <v>71</v>
      </c>
      <c r="AS20" s="504"/>
      <c r="AT20" s="504"/>
      <c r="AU20" s="504"/>
      <c r="AV20" s="504"/>
      <c r="AW20" s="504"/>
      <c r="AX20" s="504"/>
      <c r="AY20" s="229"/>
      <c r="AZ20" s="229"/>
      <c r="BA20" s="229"/>
      <c r="BB20" s="488"/>
      <c r="BD20" s="486"/>
      <c r="BG20" s="486"/>
    </row>
    <row r="21" spans="1:59" ht="12.75" customHeight="1" x14ac:dyDescent="0.2">
      <c r="A21" s="7"/>
      <c r="B21" s="494" t="s">
        <v>67</v>
      </c>
      <c r="C21" s="464"/>
      <c r="D21" s="503"/>
      <c r="E21" s="502"/>
      <c r="F21" s="507"/>
      <c r="G21" s="507"/>
      <c r="H21" s="507"/>
      <c r="I21" s="146">
        <v>221</v>
      </c>
      <c r="J21" s="507">
        <v>159</v>
      </c>
      <c r="K21" s="507">
        <v>53</v>
      </c>
      <c r="L21" s="507">
        <v>197</v>
      </c>
      <c r="M21" s="146">
        <v>132</v>
      </c>
      <c r="N21" s="507"/>
      <c r="O21" s="507"/>
      <c r="P21" s="507"/>
      <c r="Q21" s="146"/>
      <c r="R21" s="507">
        <v>2253</v>
      </c>
      <c r="S21" s="507">
        <v>2017</v>
      </c>
      <c r="T21" s="507">
        <v>1577</v>
      </c>
      <c r="U21" s="146">
        <v>2224</v>
      </c>
      <c r="V21" s="507">
        <v>2320</v>
      </c>
      <c r="W21" s="507">
        <v>1910</v>
      </c>
      <c r="X21" s="507">
        <v>2120</v>
      </c>
      <c r="Y21" s="146">
        <v>2156</v>
      </c>
      <c r="Z21" s="507">
        <v>1697</v>
      </c>
      <c r="AA21" s="507">
        <v>1856</v>
      </c>
      <c r="AB21" s="507">
        <v>1606</v>
      </c>
      <c r="AC21" s="146">
        <v>1849</v>
      </c>
      <c r="AD21" s="117">
        <v>1694</v>
      </c>
      <c r="AE21" s="142">
        <v>2331</v>
      </c>
      <c r="AF21" s="142">
        <v>2158</v>
      </c>
      <c r="AG21" s="142">
        <v>2399</v>
      </c>
      <c r="AH21" s="491">
        <v>2477</v>
      </c>
      <c r="AI21" s="146">
        <v>2338</v>
      </c>
      <c r="AJ21" s="146">
        <v>2276</v>
      </c>
      <c r="AK21" s="146">
        <v>3066</v>
      </c>
      <c r="AL21" s="47"/>
      <c r="AM21" s="493">
        <f t="shared" si="1"/>
        <v>382</v>
      </c>
      <c r="AN21" s="493">
        <f t="shared" si="2"/>
        <v>0</v>
      </c>
      <c r="AO21" s="512">
        <f t="shared" si="3"/>
        <v>541</v>
      </c>
      <c r="AP21" s="503" t="e">
        <f t="shared" si="4"/>
        <v>#DIV/0!</v>
      </c>
      <c r="AQ21" s="487"/>
      <c r="AR21" s="504">
        <f t="shared" si="5"/>
        <v>541</v>
      </c>
      <c r="AS21" s="504"/>
      <c r="AT21" s="504"/>
      <c r="AU21" s="504"/>
      <c r="AV21" s="504"/>
      <c r="AW21" s="504"/>
      <c r="AX21" s="504"/>
      <c r="AY21" s="229"/>
      <c r="AZ21" s="229"/>
      <c r="BA21" s="229"/>
      <c r="BB21" s="488"/>
      <c r="BD21" s="486"/>
      <c r="BG21" s="486"/>
    </row>
    <row r="22" spans="1:59" ht="12.75" customHeight="1" x14ac:dyDescent="0.2">
      <c r="A22" s="7"/>
      <c r="B22" s="494" t="s">
        <v>68</v>
      </c>
      <c r="C22" s="464"/>
      <c r="D22" s="503"/>
      <c r="E22" s="502"/>
      <c r="F22" s="507"/>
      <c r="G22" s="507"/>
      <c r="H22" s="507"/>
      <c r="I22" s="146">
        <v>-7</v>
      </c>
      <c r="J22" s="507">
        <v>52</v>
      </c>
      <c r="K22" s="507">
        <v>43</v>
      </c>
      <c r="L22" s="507">
        <v>70</v>
      </c>
      <c r="M22" s="146">
        <v>49</v>
      </c>
      <c r="N22" s="507"/>
      <c r="O22" s="507"/>
      <c r="P22" s="507"/>
      <c r="Q22" s="146"/>
      <c r="R22" s="507">
        <v>2030</v>
      </c>
      <c r="S22" s="507">
        <v>1993</v>
      </c>
      <c r="T22" s="507">
        <v>2068</v>
      </c>
      <c r="U22" s="146">
        <v>1948</v>
      </c>
      <c r="V22" s="507">
        <v>2016</v>
      </c>
      <c r="W22" s="507">
        <v>2074</v>
      </c>
      <c r="X22" s="507">
        <v>2075</v>
      </c>
      <c r="Y22" s="146">
        <v>1951</v>
      </c>
      <c r="Z22" s="507">
        <v>1822</v>
      </c>
      <c r="AA22" s="507">
        <v>1632</v>
      </c>
      <c r="AB22" s="507">
        <v>1702</v>
      </c>
      <c r="AC22" s="146">
        <v>1632</v>
      </c>
      <c r="AD22" s="117">
        <v>1630</v>
      </c>
      <c r="AE22" s="142">
        <v>1605</v>
      </c>
      <c r="AF22" s="142">
        <v>1605</v>
      </c>
      <c r="AG22" s="142">
        <v>1535</v>
      </c>
      <c r="AH22" s="491">
        <v>1555</v>
      </c>
      <c r="AI22" s="146">
        <v>1528</v>
      </c>
      <c r="AJ22" s="146">
        <v>1534</v>
      </c>
      <c r="AK22" s="146">
        <v>1536</v>
      </c>
      <c r="AL22" s="47"/>
      <c r="AM22" s="493">
        <f t="shared" si="1"/>
        <v>162</v>
      </c>
      <c r="AN22" s="493">
        <f t="shared" si="2"/>
        <v>0</v>
      </c>
      <c r="AO22" s="512">
        <f t="shared" si="3"/>
        <v>214</v>
      </c>
      <c r="AP22" s="503" t="e">
        <f t="shared" si="4"/>
        <v>#DIV/0!</v>
      </c>
      <c r="AQ22" s="487"/>
      <c r="AR22" s="504">
        <f t="shared" si="5"/>
        <v>214</v>
      </c>
      <c r="AS22" s="504"/>
      <c r="AT22" s="504"/>
      <c r="AU22" s="504"/>
      <c r="AV22" s="504"/>
      <c r="AW22" s="504"/>
      <c r="AX22" s="504"/>
      <c r="AY22" s="229"/>
      <c r="AZ22" s="229"/>
      <c r="BA22" s="229"/>
      <c r="BB22" s="488"/>
      <c r="BD22" s="486"/>
      <c r="BG22" s="486"/>
    </row>
    <row r="23" spans="1:59" ht="12.75" customHeight="1" x14ac:dyDescent="0.2">
      <c r="A23" s="7"/>
      <c r="B23" s="494" t="s">
        <v>69</v>
      </c>
      <c r="C23" s="464"/>
      <c r="D23" s="503"/>
      <c r="E23" s="502"/>
      <c r="F23" s="507"/>
      <c r="G23" s="507"/>
      <c r="H23" s="507"/>
      <c r="I23" s="146">
        <v>70</v>
      </c>
      <c r="J23" s="507">
        <v>23</v>
      </c>
      <c r="K23" s="507">
        <v>44</v>
      </c>
      <c r="L23" s="507">
        <v>30</v>
      </c>
      <c r="M23" s="146">
        <v>36</v>
      </c>
      <c r="N23" s="507"/>
      <c r="O23" s="507"/>
      <c r="P23" s="507"/>
      <c r="Q23" s="146"/>
      <c r="R23" s="507">
        <v>1256</v>
      </c>
      <c r="S23" s="507">
        <v>1264</v>
      </c>
      <c r="T23" s="507">
        <v>1329</v>
      </c>
      <c r="U23" s="146">
        <v>1325</v>
      </c>
      <c r="V23" s="507">
        <v>1426</v>
      </c>
      <c r="W23" s="507">
        <v>1660</v>
      </c>
      <c r="X23" s="507">
        <v>1494</v>
      </c>
      <c r="Y23" s="146">
        <v>1536</v>
      </c>
      <c r="Z23" s="507">
        <v>1630</v>
      </c>
      <c r="AA23" s="507">
        <v>1590</v>
      </c>
      <c r="AB23" s="507">
        <v>1556</v>
      </c>
      <c r="AC23" s="146">
        <v>1639</v>
      </c>
      <c r="AD23" s="117">
        <v>1596</v>
      </c>
      <c r="AE23" s="142">
        <v>1544</v>
      </c>
      <c r="AF23" s="142">
        <v>1573</v>
      </c>
      <c r="AG23" s="142">
        <v>1670</v>
      </c>
      <c r="AH23" s="491">
        <v>1639</v>
      </c>
      <c r="AI23" s="146">
        <v>1526</v>
      </c>
      <c r="AJ23" s="146">
        <v>1571</v>
      </c>
      <c r="AK23" s="146">
        <v>1602</v>
      </c>
      <c r="AL23" s="47"/>
      <c r="AM23" s="493">
        <f t="shared" si="1"/>
        <v>110</v>
      </c>
      <c r="AN23" s="493">
        <f t="shared" si="2"/>
        <v>0</v>
      </c>
      <c r="AO23" s="512">
        <f t="shared" si="3"/>
        <v>133</v>
      </c>
      <c r="AP23" s="503" t="e">
        <f t="shared" si="4"/>
        <v>#DIV/0!</v>
      </c>
      <c r="AQ23" s="487"/>
      <c r="AR23" s="504">
        <f t="shared" si="5"/>
        <v>133</v>
      </c>
      <c r="AS23" s="504"/>
      <c r="AT23" s="504"/>
      <c r="AU23" s="504"/>
      <c r="AV23" s="504"/>
      <c r="AW23" s="504"/>
      <c r="AX23" s="504"/>
      <c r="AY23" s="229"/>
      <c r="AZ23" s="229"/>
      <c r="BA23" s="229"/>
      <c r="BB23" s="488"/>
      <c r="BD23" s="486"/>
      <c r="BG23" s="486"/>
    </row>
    <row r="24" spans="1:59" ht="12.75" customHeight="1" x14ac:dyDescent="0.2">
      <c r="A24" s="7"/>
      <c r="B24" s="494" t="s">
        <v>64</v>
      </c>
      <c r="C24" s="464"/>
      <c r="D24" s="503"/>
      <c r="E24" s="502"/>
      <c r="F24" s="507"/>
      <c r="G24" s="507"/>
      <c r="H24" s="507"/>
      <c r="I24" s="146">
        <v>2</v>
      </c>
      <c r="J24" s="507">
        <v>2</v>
      </c>
      <c r="K24" s="507">
        <v>2</v>
      </c>
      <c r="L24" s="507">
        <v>2</v>
      </c>
      <c r="M24" s="146">
        <v>4</v>
      </c>
      <c r="N24" s="507"/>
      <c r="O24" s="507"/>
      <c r="P24" s="507"/>
      <c r="Q24" s="146"/>
      <c r="R24" s="507">
        <v>90</v>
      </c>
      <c r="S24" s="507">
        <v>97</v>
      </c>
      <c r="T24" s="507">
        <v>63</v>
      </c>
      <c r="U24" s="146">
        <v>58</v>
      </c>
      <c r="V24" s="507">
        <v>44</v>
      </c>
      <c r="W24" s="507">
        <v>51</v>
      </c>
      <c r="X24" s="507">
        <v>104</v>
      </c>
      <c r="Y24" s="146">
        <v>243</v>
      </c>
      <c r="Z24" s="507">
        <v>671</v>
      </c>
      <c r="AA24" s="507">
        <v>1758</v>
      </c>
      <c r="AB24" s="507">
        <v>2459</v>
      </c>
      <c r="AC24" s="146">
        <v>2915</v>
      </c>
      <c r="AD24" s="117">
        <v>4124</v>
      </c>
      <c r="AE24" s="142">
        <v>5305</v>
      </c>
      <c r="AF24" s="142">
        <v>5435</v>
      </c>
      <c r="AG24" s="142">
        <v>5060</v>
      </c>
      <c r="AH24" s="491">
        <v>4659</v>
      </c>
      <c r="AI24" s="146">
        <v>4412</v>
      </c>
      <c r="AJ24" s="146">
        <v>4434</v>
      </c>
      <c r="AK24" s="146">
        <v>4246</v>
      </c>
      <c r="AL24" s="47"/>
      <c r="AM24" s="493">
        <f t="shared" si="1"/>
        <v>8</v>
      </c>
      <c r="AN24" s="493">
        <f t="shared" si="2"/>
        <v>0</v>
      </c>
      <c r="AO24" s="512">
        <f t="shared" si="3"/>
        <v>10</v>
      </c>
      <c r="AP24" s="503" t="e">
        <f t="shared" si="4"/>
        <v>#DIV/0!</v>
      </c>
      <c r="AQ24" s="487"/>
      <c r="AR24" s="504">
        <f t="shared" si="5"/>
        <v>10</v>
      </c>
      <c r="AS24" s="504"/>
      <c r="AT24" s="504"/>
      <c r="AU24" s="504"/>
      <c r="AV24" s="504"/>
      <c r="AW24" s="504"/>
      <c r="AX24" s="504"/>
      <c r="AY24" s="229"/>
      <c r="AZ24" s="229"/>
      <c r="BA24" s="229"/>
      <c r="BB24" s="488"/>
      <c r="BD24" s="486"/>
      <c r="BG24" s="486"/>
    </row>
    <row r="25" spans="1:59" ht="12.75" customHeight="1" x14ac:dyDescent="0.2">
      <c r="A25" s="7"/>
      <c r="B25" s="494" t="s">
        <v>89</v>
      </c>
      <c r="C25" s="464"/>
      <c r="D25" s="503"/>
      <c r="E25" s="502"/>
      <c r="F25" s="507"/>
      <c r="G25" s="507"/>
      <c r="H25" s="507"/>
      <c r="I25" s="146">
        <v>104</v>
      </c>
      <c r="J25" s="507">
        <v>78</v>
      </c>
      <c r="K25" s="507">
        <v>143</v>
      </c>
      <c r="L25" s="507">
        <v>180</v>
      </c>
      <c r="M25" s="146">
        <v>128</v>
      </c>
      <c r="N25" s="507"/>
      <c r="O25" s="507"/>
      <c r="P25" s="507"/>
      <c r="Q25" s="146"/>
      <c r="R25" s="507">
        <v>4728</v>
      </c>
      <c r="S25" s="507">
        <v>4268</v>
      </c>
      <c r="T25" s="507">
        <v>4186</v>
      </c>
      <c r="U25" s="146">
        <v>3730</v>
      </c>
      <c r="V25" s="507">
        <v>6030</v>
      </c>
      <c r="W25" s="507">
        <v>4108</v>
      </c>
      <c r="X25" s="507">
        <v>2461</v>
      </c>
      <c r="Y25" s="146">
        <v>3886</v>
      </c>
      <c r="Z25" s="507">
        <v>2268</v>
      </c>
      <c r="AA25" s="507">
        <v>7826</v>
      </c>
      <c r="AB25" s="507">
        <v>3206</v>
      </c>
      <c r="AC25" s="146">
        <v>3942</v>
      </c>
      <c r="AD25" s="117">
        <v>3477</v>
      </c>
      <c r="AE25" s="142">
        <v>3587</v>
      </c>
      <c r="AF25" s="142">
        <v>2594</v>
      </c>
      <c r="AG25" s="142">
        <v>2953</v>
      </c>
      <c r="AH25" s="491">
        <v>2341</v>
      </c>
      <c r="AI25" s="146">
        <v>3444</v>
      </c>
      <c r="AJ25" s="146">
        <v>1855</v>
      </c>
      <c r="AK25" s="146">
        <v>6038</v>
      </c>
      <c r="AL25" s="47"/>
      <c r="AM25" s="493">
        <f t="shared" si="1"/>
        <v>451</v>
      </c>
      <c r="AN25" s="493">
        <f t="shared" si="2"/>
        <v>0</v>
      </c>
      <c r="AO25" s="512">
        <f t="shared" si="3"/>
        <v>529</v>
      </c>
      <c r="AP25" s="503" t="e">
        <f t="shared" si="4"/>
        <v>#DIV/0!</v>
      </c>
      <c r="AQ25" s="487"/>
      <c r="AR25" s="504">
        <f t="shared" si="5"/>
        <v>529</v>
      </c>
      <c r="AS25" s="504"/>
      <c r="AT25" s="504"/>
      <c r="AU25" s="504"/>
      <c r="AV25" s="504"/>
      <c r="AW25" s="504"/>
      <c r="AX25" s="504"/>
      <c r="AY25" s="229"/>
      <c r="AZ25" s="229"/>
      <c r="BA25" s="229"/>
      <c r="BB25" s="488"/>
      <c r="BD25" s="486"/>
      <c r="BE25" s="486"/>
      <c r="BF25" s="486"/>
      <c r="BG25" s="486"/>
    </row>
    <row r="26" spans="1:59" ht="12.75" customHeight="1" x14ac:dyDescent="0.2">
      <c r="A26" s="7"/>
      <c r="B26" s="494" t="s">
        <v>71</v>
      </c>
      <c r="C26" s="464"/>
      <c r="D26" s="503"/>
      <c r="E26" s="502"/>
      <c r="F26" s="507"/>
      <c r="G26" s="507"/>
      <c r="H26" s="507"/>
      <c r="I26" s="146">
        <v>127</v>
      </c>
      <c r="J26" s="507">
        <v>37</v>
      </c>
      <c r="K26" s="507">
        <v>44</v>
      </c>
      <c r="L26" s="507">
        <v>42</v>
      </c>
      <c r="M26" s="146">
        <v>47</v>
      </c>
      <c r="N26" s="507"/>
      <c r="O26" s="507"/>
      <c r="P26" s="507"/>
      <c r="Q26" s="146"/>
      <c r="R26" s="507">
        <v>632</v>
      </c>
      <c r="S26" s="507">
        <v>596</v>
      </c>
      <c r="T26" s="507">
        <v>575</v>
      </c>
      <c r="U26" s="146">
        <v>619</v>
      </c>
      <c r="V26" s="507">
        <v>649</v>
      </c>
      <c r="W26" s="507">
        <v>637</v>
      </c>
      <c r="X26" s="507">
        <v>618</v>
      </c>
      <c r="Y26" s="146">
        <v>602</v>
      </c>
      <c r="Z26" s="507">
        <v>655</v>
      </c>
      <c r="AA26" s="507">
        <v>463</v>
      </c>
      <c r="AB26" s="507">
        <v>411</v>
      </c>
      <c r="AC26" s="146">
        <v>409</v>
      </c>
      <c r="AD26" s="117">
        <v>436</v>
      </c>
      <c r="AE26" s="142">
        <v>495</v>
      </c>
      <c r="AF26" s="142">
        <v>472</v>
      </c>
      <c r="AG26" s="142">
        <v>430</v>
      </c>
      <c r="AH26" s="491">
        <v>438</v>
      </c>
      <c r="AI26" s="146">
        <v>380</v>
      </c>
      <c r="AJ26" s="146">
        <v>420</v>
      </c>
      <c r="AK26" s="146">
        <v>410</v>
      </c>
      <c r="AL26" s="47"/>
      <c r="AM26" s="493">
        <f t="shared" si="1"/>
        <v>133</v>
      </c>
      <c r="AN26" s="493">
        <f t="shared" si="2"/>
        <v>0</v>
      </c>
      <c r="AO26" s="512">
        <f t="shared" si="3"/>
        <v>170</v>
      </c>
      <c r="AP26" s="503" t="e">
        <f t="shared" si="4"/>
        <v>#DIV/0!</v>
      </c>
      <c r="AQ26" s="487"/>
      <c r="AR26" s="504">
        <f t="shared" si="5"/>
        <v>170</v>
      </c>
      <c r="AS26" s="504"/>
      <c r="AT26" s="504"/>
      <c r="AU26" s="504"/>
      <c r="AV26" s="504"/>
      <c r="AW26" s="504"/>
      <c r="AX26" s="504"/>
      <c r="AY26" s="229"/>
      <c r="AZ26" s="229"/>
      <c r="BA26" s="229"/>
      <c r="BB26" s="488"/>
      <c r="BD26" s="486"/>
      <c r="BE26" s="486"/>
      <c r="BF26" s="486"/>
      <c r="BG26" s="486"/>
    </row>
    <row r="27" spans="1:59" ht="12.75" customHeight="1" x14ac:dyDescent="0.2">
      <c r="A27" s="6"/>
      <c r="B27" s="494" t="s">
        <v>72</v>
      </c>
      <c r="C27" s="464"/>
      <c r="D27" s="503"/>
      <c r="E27" s="502"/>
      <c r="F27" s="507"/>
      <c r="G27" s="507"/>
      <c r="H27" s="507"/>
      <c r="I27" s="146">
        <v>127</v>
      </c>
      <c r="J27" s="493">
        <v>0</v>
      </c>
      <c r="K27" s="493">
        <v>0</v>
      </c>
      <c r="L27" s="507">
        <v>0</v>
      </c>
      <c r="M27" s="146">
        <v>0</v>
      </c>
      <c r="N27" s="507"/>
      <c r="O27" s="507"/>
      <c r="P27" s="507"/>
      <c r="Q27" s="146"/>
      <c r="R27" s="507">
        <v>2125</v>
      </c>
      <c r="S27" s="507">
        <v>2275</v>
      </c>
      <c r="T27" s="507">
        <v>2425</v>
      </c>
      <c r="U27" s="146">
        <v>2433</v>
      </c>
      <c r="V27" s="507">
        <v>2574</v>
      </c>
      <c r="W27" s="507">
        <v>3216</v>
      </c>
      <c r="X27" s="507">
        <v>2613</v>
      </c>
      <c r="Y27" s="146">
        <v>1905</v>
      </c>
      <c r="Z27" s="507">
        <v>2597</v>
      </c>
      <c r="AA27" s="507">
        <v>2312</v>
      </c>
      <c r="AB27" s="507">
        <v>1378</v>
      </c>
      <c r="AC27" s="146">
        <v>1566</v>
      </c>
      <c r="AD27" s="117">
        <v>1897</v>
      </c>
      <c r="AE27" s="142">
        <v>1550</v>
      </c>
      <c r="AF27" s="142">
        <v>1341</v>
      </c>
      <c r="AG27" s="142">
        <v>1372</v>
      </c>
      <c r="AH27" s="491">
        <v>1370</v>
      </c>
      <c r="AI27" s="146">
        <v>1663</v>
      </c>
      <c r="AJ27" s="146">
        <v>1517</v>
      </c>
      <c r="AK27" s="146">
        <v>1521</v>
      </c>
      <c r="AL27" s="47"/>
      <c r="AM27" s="493">
        <f t="shared" si="1"/>
        <v>0</v>
      </c>
      <c r="AN27" s="493">
        <f t="shared" si="2"/>
        <v>0</v>
      </c>
      <c r="AO27" s="512">
        <f t="shared" si="3"/>
        <v>0</v>
      </c>
      <c r="AP27" s="503" t="e">
        <f t="shared" si="4"/>
        <v>#DIV/0!</v>
      </c>
      <c r="AQ27" s="487"/>
      <c r="AR27" s="504">
        <f t="shared" si="5"/>
        <v>0</v>
      </c>
      <c r="AS27" s="504"/>
      <c r="AT27" s="504"/>
      <c r="AU27" s="504"/>
      <c r="AV27" s="504"/>
      <c r="AW27" s="504"/>
      <c r="AX27" s="504"/>
      <c r="AY27" s="229"/>
      <c r="AZ27" s="229"/>
      <c r="BA27" s="229"/>
      <c r="BB27" s="488"/>
      <c r="BD27" s="486"/>
      <c r="BE27" s="486"/>
      <c r="BF27" s="486"/>
      <c r="BG27" s="486"/>
    </row>
    <row r="28" spans="1:59" ht="12.75" customHeight="1" x14ac:dyDescent="0.2">
      <c r="A28" s="6"/>
      <c r="B28" s="6" t="s">
        <v>160</v>
      </c>
      <c r="C28" s="464"/>
      <c r="D28" s="351"/>
      <c r="E28" s="502"/>
      <c r="F28" s="493"/>
      <c r="G28" s="493"/>
      <c r="H28" s="493"/>
      <c r="I28" s="112">
        <v>0</v>
      </c>
      <c r="J28" s="493">
        <v>0</v>
      </c>
      <c r="K28" s="493">
        <v>0</v>
      </c>
      <c r="L28" s="493">
        <v>0</v>
      </c>
      <c r="M28" s="112">
        <v>0</v>
      </c>
      <c r="N28" s="493"/>
      <c r="O28" s="493"/>
      <c r="P28" s="493"/>
      <c r="Q28" s="112"/>
      <c r="R28" s="493">
        <v>0</v>
      </c>
      <c r="S28" s="493">
        <v>0</v>
      </c>
      <c r="T28" s="493">
        <v>0</v>
      </c>
      <c r="U28" s="112">
        <v>0</v>
      </c>
      <c r="V28" s="493">
        <v>0</v>
      </c>
      <c r="W28" s="493">
        <v>0</v>
      </c>
      <c r="X28" s="493">
        <v>0</v>
      </c>
      <c r="Y28" s="112">
        <v>0</v>
      </c>
      <c r="Z28" s="493">
        <v>0</v>
      </c>
      <c r="AA28" s="493">
        <v>5347</v>
      </c>
      <c r="AB28" s="493">
        <v>0</v>
      </c>
      <c r="AC28" s="503">
        <v>0</v>
      </c>
      <c r="AD28" s="118">
        <v>54200</v>
      </c>
      <c r="AE28" s="493">
        <v>0</v>
      </c>
      <c r="AF28" s="493">
        <v>0</v>
      </c>
      <c r="AG28" s="112">
        <v>0</v>
      </c>
      <c r="AH28" s="414">
        <v>0</v>
      </c>
      <c r="AI28" s="112">
        <v>0</v>
      </c>
      <c r="AJ28" s="112">
        <v>0</v>
      </c>
      <c r="AK28" s="112">
        <v>0</v>
      </c>
      <c r="AL28" s="47"/>
      <c r="AM28" s="493">
        <f t="shared" si="1"/>
        <v>0</v>
      </c>
      <c r="AN28" s="493">
        <f t="shared" si="2"/>
        <v>0</v>
      </c>
      <c r="AO28" s="512">
        <f t="shared" si="3"/>
        <v>0</v>
      </c>
      <c r="AP28" s="503" t="e">
        <f t="shared" si="4"/>
        <v>#DIV/0!</v>
      </c>
      <c r="AQ28" s="487"/>
      <c r="AR28" s="504">
        <f t="shared" si="5"/>
        <v>0</v>
      </c>
      <c r="AS28" s="415"/>
      <c r="AT28" s="415"/>
      <c r="AU28" s="415"/>
      <c r="AV28" s="504"/>
      <c r="AW28" s="415"/>
      <c r="AX28" s="415"/>
      <c r="AY28" s="229"/>
      <c r="AZ28" s="229"/>
      <c r="BA28" s="229"/>
      <c r="BB28" s="488"/>
      <c r="BD28" s="144"/>
      <c r="BE28" s="144"/>
      <c r="BF28" s="486"/>
      <c r="BG28" s="486"/>
    </row>
    <row r="29" spans="1:59" ht="12.75" customHeight="1" x14ac:dyDescent="0.2">
      <c r="A29" s="6"/>
      <c r="B29" s="6" t="s">
        <v>181</v>
      </c>
      <c r="C29" s="464"/>
      <c r="D29" s="351"/>
      <c r="E29" s="502"/>
      <c r="F29" s="493"/>
      <c r="G29" s="493"/>
      <c r="H29" s="493"/>
      <c r="I29" s="112">
        <v>0</v>
      </c>
      <c r="J29" s="493">
        <v>0</v>
      </c>
      <c r="K29" s="493">
        <v>0</v>
      </c>
      <c r="L29" s="493">
        <v>0</v>
      </c>
      <c r="M29" s="112">
        <v>0</v>
      </c>
      <c r="N29" s="493"/>
      <c r="O29" s="493"/>
      <c r="P29" s="493"/>
      <c r="Q29" s="112"/>
      <c r="R29" s="493">
        <v>0</v>
      </c>
      <c r="S29" s="493">
        <v>0</v>
      </c>
      <c r="T29" s="493">
        <v>0</v>
      </c>
      <c r="U29" s="112">
        <v>0</v>
      </c>
      <c r="V29" s="493"/>
      <c r="W29" s="493"/>
      <c r="X29" s="493"/>
      <c r="Y29" s="112"/>
      <c r="Z29" s="493"/>
      <c r="AA29" s="493"/>
      <c r="AB29" s="493"/>
      <c r="AC29" s="503"/>
      <c r="AD29" s="493"/>
      <c r="AE29" s="493"/>
      <c r="AF29" s="493"/>
      <c r="AG29" s="493"/>
      <c r="AH29" s="414"/>
      <c r="AI29" s="112"/>
      <c r="AJ29" s="112"/>
      <c r="AK29" s="112"/>
      <c r="AL29" s="47"/>
      <c r="AM29" s="493">
        <f t="shared" si="1"/>
        <v>0</v>
      </c>
      <c r="AN29" s="493">
        <f t="shared" si="2"/>
        <v>0</v>
      </c>
      <c r="AO29" s="512">
        <f>AR29-AS29</f>
        <v>0</v>
      </c>
      <c r="AP29" s="503">
        <v>0</v>
      </c>
      <c r="AQ29" s="487"/>
      <c r="AR29" s="415">
        <f t="shared" si="5"/>
        <v>0</v>
      </c>
      <c r="AS29" s="415"/>
      <c r="AT29" s="415"/>
      <c r="AU29" s="415"/>
      <c r="AV29" s="415"/>
      <c r="AW29" s="415"/>
      <c r="AX29" s="415"/>
      <c r="AY29" s="229"/>
      <c r="AZ29" s="229"/>
      <c r="BA29" s="229"/>
      <c r="BB29" s="488"/>
      <c r="BD29" s="144"/>
      <c r="BE29" s="144"/>
      <c r="BF29" s="486"/>
      <c r="BG29" s="486"/>
    </row>
    <row r="30" spans="1:59" ht="12.75" customHeight="1" x14ac:dyDescent="0.2">
      <c r="A30" s="7"/>
      <c r="B30" s="489" t="s">
        <v>159</v>
      </c>
      <c r="C30" s="464"/>
      <c r="D30" s="351"/>
      <c r="E30" s="502"/>
      <c r="F30" s="493"/>
      <c r="G30" s="493"/>
      <c r="H30" s="493"/>
      <c r="I30" s="269">
        <v>0</v>
      </c>
      <c r="J30" s="493">
        <v>0</v>
      </c>
      <c r="K30" s="493">
        <v>0</v>
      </c>
      <c r="L30" s="493">
        <v>0</v>
      </c>
      <c r="M30" s="269">
        <v>0</v>
      </c>
      <c r="N30" s="493"/>
      <c r="O30" s="493"/>
      <c r="P30" s="493"/>
      <c r="Q30" s="269"/>
      <c r="R30" s="493">
        <v>0</v>
      </c>
      <c r="S30" s="493">
        <v>0</v>
      </c>
      <c r="T30" s="493">
        <v>0</v>
      </c>
      <c r="U30" s="269">
        <v>0</v>
      </c>
      <c r="V30" s="493">
        <v>0</v>
      </c>
      <c r="W30" s="493">
        <v>0</v>
      </c>
      <c r="X30" s="493">
        <v>0</v>
      </c>
      <c r="Y30" s="269">
        <v>0</v>
      </c>
      <c r="Z30" s="493">
        <v>0</v>
      </c>
      <c r="AA30" s="507">
        <v>180</v>
      </c>
      <c r="AB30" s="493">
        <v>0</v>
      </c>
      <c r="AC30" s="503">
        <v>0</v>
      </c>
      <c r="AD30" s="493">
        <v>700</v>
      </c>
      <c r="AE30" s="493">
        <v>0</v>
      </c>
      <c r="AF30" s="493">
        <v>0</v>
      </c>
      <c r="AG30" s="493">
        <v>0</v>
      </c>
      <c r="AH30" s="414">
        <v>0</v>
      </c>
      <c r="AI30" s="112">
        <v>0</v>
      </c>
      <c r="AJ30" s="112">
        <v>0</v>
      </c>
      <c r="AK30" s="112">
        <v>0</v>
      </c>
      <c r="AL30" s="47"/>
      <c r="AM30" s="493">
        <f t="shared" si="1"/>
        <v>0</v>
      </c>
      <c r="AN30" s="493">
        <f t="shared" si="2"/>
        <v>0</v>
      </c>
      <c r="AO30" s="512">
        <v>0</v>
      </c>
      <c r="AP30" s="503">
        <v>0</v>
      </c>
      <c r="AQ30" s="487"/>
      <c r="AR30" s="415">
        <f t="shared" si="5"/>
        <v>0</v>
      </c>
      <c r="AS30" s="415"/>
      <c r="AT30" s="415"/>
      <c r="AU30" s="415"/>
      <c r="AV30" s="415"/>
      <c r="AW30" s="415"/>
      <c r="AX30" s="415"/>
      <c r="AY30" s="229"/>
      <c r="AZ30" s="229"/>
      <c r="BA30" s="229"/>
      <c r="BB30" s="488"/>
      <c r="BD30" s="486"/>
      <c r="BE30" s="486"/>
      <c r="BF30" s="486"/>
      <c r="BG30" s="486"/>
    </row>
    <row r="31" spans="1:59" ht="12.75" customHeight="1" x14ac:dyDescent="0.2">
      <c r="A31" s="7"/>
      <c r="C31" s="113"/>
      <c r="D31" s="114"/>
      <c r="E31" s="502"/>
      <c r="F31" s="272">
        <f>SUM(F19:F30)</f>
        <v>0</v>
      </c>
      <c r="G31" s="272">
        <f>SUM(G19:G30)</f>
        <v>0</v>
      </c>
      <c r="H31" s="272">
        <f>SUM(H19:H30)</f>
        <v>0</v>
      </c>
      <c r="I31" s="151">
        <f>SUM(I19:I30)</f>
        <v>1331</v>
      </c>
      <c r="J31" s="272">
        <f t="shared" ref="J31:U31" si="7">SUM(J19:J30)</f>
        <v>1156</v>
      </c>
      <c r="K31" s="272">
        <f t="shared" si="7"/>
        <v>1172</v>
      </c>
      <c r="L31" s="272">
        <f t="shared" si="7"/>
        <v>853</v>
      </c>
      <c r="M31" s="151">
        <f t="shared" si="7"/>
        <v>967</v>
      </c>
      <c r="N31" s="272"/>
      <c r="O31" s="272"/>
      <c r="P31" s="272"/>
      <c r="Q31" s="151"/>
      <c r="R31" s="272">
        <f t="shared" si="7"/>
        <v>54200</v>
      </c>
      <c r="S31" s="272">
        <f t="shared" si="7"/>
        <v>52012</v>
      </c>
      <c r="T31" s="272">
        <f t="shared" si="7"/>
        <v>38601</v>
      </c>
      <c r="U31" s="151">
        <f t="shared" si="7"/>
        <v>39500</v>
      </c>
      <c r="V31" s="272">
        <v>46835</v>
      </c>
      <c r="W31" s="272">
        <v>42047</v>
      </c>
      <c r="X31" s="272">
        <v>35213</v>
      </c>
      <c r="Y31" s="151">
        <v>35168</v>
      </c>
      <c r="Z31" s="272">
        <v>28967</v>
      </c>
      <c r="AA31" s="272">
        <v>40216</v>
      </c>
      <c r="AB31" s="272">
        <v>35911</v>
      </c>
      <c r="AC31" s="151">
        <v>44683</v>
      </c>
      <c r="AD31" s="120">
        <v>98603</v>
      </c>
      <c r="AE31" s="150">
        <v>48132</v>
      </c>
      <c r="AF31" s="150">
        <v>44039</v>
      </c>
      <c r="AG31" s="150">
        <v>57148</v>
      </c>
      <c r="AH31" s="115">
        <v>55349</v>
      </c>
      <c r="AI31" s="151">
        <v>50178</v>
      </c>
      <c r="AJ31" s="151">
        <v>41346</v>
      </c>
      <c r="AK31" s="151">
        <v>55217</v>
      </c>
      <c r="AL31" s="47"/>
      <c r="AM31" s="522">
        <f>SUM(AM19:AM30)</f>
        <v>2992</v>
      </c>
      <c r="AN31" s="522">
        <f>SUM(AN19:AN30)</f>
        <v>0</v>
      </c>
      <c r="AO31" s="247">
        <f>AR31-AS31</f>
        <v>4148</v>
      </c>
      <c r="AP31" s="317" t="e">
        <f>IF(OR((AO31/AS31)&gt;3,(AO31/AS31)&lt;-3),"n.m.",(AO31/AS31))</f>
        <v>#DIV/0!</v>
      </c>
      <c r="AQ31" s="47"/>
      <c r="AR31" s="151">
        <f>SUM(AR19:AR30)</f>
        <v>4148</v>
      </c>
      <c r="AS31" s="151"/>
      <c r="AT31" s="151"/>
      <c r="AU31" s="178"/>
      <c r="AV31" s="133"/>
      <c r="AW31" s="133"/>
      <c r="AX31" s="133"/>
      <c r="AY31" s="230"/>
      <c r="AZ31" s="230"/>
      <c r="BA31" s="230"/>
      <c r="BB31" s="488"/>
      <c r="BD31" s="486"/>
      <c r="BE31" s="486"/>
      <c r="BF31" s="486"/>
      <c r="BG31" s="486"/>
    </row>
    <row r="32" spans="1:59" s="53" customFormat="1" ht="24.75" customHeight="1" thickBot="1" x14ac:dyDescent="0.25">
      <c r="A32" s="2491" t="s">
        <v>211</v>
      </c>
      <c r="B32" s="2492"/>
      <c r="C32" s="464"/>
      <c r="D32" s="316"/>
      <c r="E32" s="502"/>
      <c r="F32" s="142">
        <f t="shared" ref="F32:L32" si="8">+F15-F31</f>
        <v>0</v>
      </c>
      <c r="G32" s="142">
        <f t="shared" si="8"/>
        <v>0</v>
      </c>
      <c r="H32" s="142">
        <f t="shared" si="8"/>
        <v>0</v>
      </c>
      <c r="I32" s="155">
        <f t="shared" si="8"/>
        <v>-576</v>
      </c>
      <c r="J32" s="120">
        <f t="shared" si="8"/>
        <v>142</v>
      </c>
      <c r="K32" s="150">
        <f t="shared" si="8"/>
        <v>-994</v>
      </c>
      <c r="L32" s="150">
        <f t="shared" si="8"/>
        <v>300</v>
      </c>
      <c r="M32" s="151">
        <f>M15-M31</f>
        <v>-123</v>
      </c>
      <c r="N32" s="120"/>
      <c r="O32" s="150"/>
      <c r="P32" s="150"/>
      <c r="Q32" s="151"/>
      <c r="R32" s="252">
        <f>R15-R31</f>
        <v>18504</v>
      </c>
      <c r="S32" s="252">
        <f>S15-S31</f>
        <v>16587</v>
      </c>
      <c r="T32" s="142">
        <f>T15-T31</f>
        <v>5938</v>
      </c>
      <c r="U32" s="155">
        <f>U15-U31</f>
        <v>7707</v>
      </c>
      <c r="V32" s="142">
        <v>8155</v>
      </c>
      <c r="W32" s="252">
        <v>9686</v>
      </c>
      <c r="X32" s="142">
        <v>4925</v>
      </c>
      <c r="Y32" s="155">
        <v>5017</v>
      </c>
      <c r="Z32" s="252">
        <v>8288</v>
      </c>
      <c r="AA32" s="252">
        <v>-6684</v>
      </c>
      <c r="AB32" s="252">
        <v>7933</v>
      </c>
      <c r="AC32" s="155">
        <v>13170</v>
      </c>
      <c r="AD32" s="156">
        <v>-44140</v>
      </c>
      <c r="AE32" s="151">
        <v>13034</v>
      </c>
      <c r="AF32" s="151">
        <v>13376</v>
      </c>
      <c r="AG32" s="150">
        <v>18935</v>
      </c>
      <c r="AH32" s="150">
        <v>20527</v>
      </c>
      <c r="AI32" s="150">
        <v>18653</v>
      </c>
      <c r="AJ32" s="150">
        <v>14280</v>
      </c>
      <c r="AK32" s="150">
        <v>17069</v>
      </c>
      <c r="AL32" s="47"/>
      <c r="AM32" s="512">
        <f>AM15-AM31</f>
        <v>-817</v>
      </c>
      <c r="AN32" s="512">
        <f>AN15-AN31</f>
        <v>0</v>
      </c>
      <c r="AO32" s="239">
        <f>AR32-AS32</f>
        <v>-675</v>
      </c>
      <c r="AP32" s="330" t="e">
        <f>IF(OR((AO32/AS32)&gt;3,(AO32/AS32)&lt;-3),"n.m.",(AO32/AS32))</f>
        <v>#DIV/0!</v>
      </c>
      <c r="AQ32" s="47"/>
      <c r="AR32" s="115">
        <f>AR15-AR31</f>
        <v>-675</v>
      </c>
      <c r="AS32" s="115"/>
      <c r="AT32" s="115"/>
      <c r="AU32" s="133"/>
      <c r="AV32" s="133"/>
      <c r="AW32" s="165"/>
      <c r="AX32" s="165"/>
      <c r="AY32" s="227"/>
      <c r="AZ32" s="227"/>
      <c r="BA32" s="231"/>
      <c r="BB32" s="488"/>
      <c r="BD32" s="140"/>
      <c r="BE32" s="140"/>
      <c r="BF32" s="140"/>
      <c r="BG32" s="140"/>
    </row>
    <row r="33" spans="1:59" s="140" customFormat="1" ht="12.75" hidden="1" customHeight="1" outlineLevel="1" thickTop="1" x14ac:dyDescent="0.2">
      <c r="A33" s="548"/>
      <c r="B33" s="552" t="s">
        <v>337</v>
      </c>
      <c r="C33" s="315"/>
      <c r="D33" s="542"/>
      <c r="E33" s="502"/>
      <c r="F33" s="322"/>
      <c r="G33" s="164"/>
      <c r="H33" s="164"/>
      <c r="I33" s="565">
        <v>4420</v>
      </c>
      <c r="J33" s="528">
        <v>5251</v>
      </c>
      <c r="K33" s="528">
        <v>5647</v>
      </c>
      <c r="L33" s="528">
        <v>6215</v>
      </c>
      <c r="M33" s="529">
        <v>6579</v>
      </c>
      <c r="N33" s="528"/>
      <c r="O33" s="528"/>
      <c r="P33" s="528"/>
      <c r="Q33" s="529"/>
      <c r="R33" s="164"/>
      <c r="S33" s="164"/>
      <c r="T33" s="164"/>
      <c r="U33" s="165"/>
      <c r="V33" s="164"/>
      <c r="W33" s="164"/>
      <c r="X33" s="164"/>
      <c r="Y33" s="165"/>
      <c r="Z33" s="546"/>
      <c r="AA33" s="543"/>
      <c r="AB33" s="543"/>
      <c r="AC33" s="544"/>
      <c r="AD33" s="543"/>
      <c r="AE33" s="505"/>
      <c r="AF33" s="506"/>
      <c r="AG33" s="505"/>
      <c r="AH33" s="505"/>
      <c r="AI33" s="505"/>
      <c r="AJ33" s="505"/>
      <c r="AK33" s="505"/>
      <c r="AL33" s="134"/>
      <c r="AM33" s="362"/>
      <c r="AN33" s="164"/>
      <c r="AO33" s="183"/>
      <c r="AP33" s="316"/>
      <c r="AQ33" s="172"/>
      <c r="AR33" s="192">
        <f>SUM(J33:M33)</f>
        <v>23692</v>
      </c>
      <c r="AS33" s="555"/>
      <c r="AT33" s="554"/>
      <c r="AU33" s="558"/>
      <c r="AV33" s="319"/>
      <c r="AW33" s="544"/>
      <c r="AX33" s="544"/>
      <c r="AY33" s="545"/>
      <c r="AZ33" s="545"/>
      <c r="BA33" s="183"/>
      <c r="BB33" s="331"/>
      <c r="BC33" s="331"/>
      <c r="BD33" s="331"/>
      <c r="BE33" s="331"/>
    </row>
    <row r="34" spans="1:59" s="140" customFormat="1" ht="12.75" hidden="1" customHeight="1" outlineLevel="1" x14ac:dyDescent="0.2">
      <c r="A34" s="548"/>
      <c r="B34" s="552" t="s">
        <v>338</v>
      </c>
      <c r="C34" s="464"/>
      <c r="D34" s="503"/>
      <c r="E34" s="502"/>
      <c r="F34" s="495"/>
      <c r="G34" s="505"/>
      <c r="H34" s="505"/>
      <c r="I34" s="529">
        <v>-223</v>
      </c>
      <c r="J34" s="528">
        <v>0</v>
      </c>
      <c r="K34" s="528">
        <v>0</v>
      </c>
      <c r="L34" s="528">
        <v>0</v>
      </c>
      <c r="M34" s="529">
        <v>0</v>
      </c>
      <c r="N34" s="528"/>
      <c r="O34" s="528"/>
      <c r="P34" s="528"/>
      <c r="Q34" s="529"/>
      <c r="R34" s="505"/>
      <c r="S34" s="505"/>
      <c r="T34" s="505"/>
      <c r="U34" s="506"/>
      <c r="V34" s="505"/>
      <c r="W34" s="505"/>
      <c r="X34" s="505"/>
      <c r="Y34" s="506"/>
      <c r="Z34" s="549"/>
      <c r="AA34" s="318"/>
      <c r="AB34" s="318"/>
      <c r="AC34" s="319"/>
      <c r="AD34" s="318"/>
      <c r="AE34" s="505"/>
      <c r="AF34" s="506"/>
      <c r="AG34" s="505"/>
      <c r="AH34" s="505"/>
      <c r="AI34" s="505"/>
      <c r="AJ34" s="505"/>
      <c r="AK34" s="505"/>
      <c r="AL34" s="134"/>
      <c r="AM34" s="362"/>
      <c r="AN34" s="505"/>
      <c r="AO34" s="183"/>
      <c r="AP34" s="503"/>
      <c r="AQ34" s="172"/>
      <c r="AR34" s="415">
        <f>SUM(J34:M34)</f>
        <v>0</v>
      </c>
      <c r="AS34" s="415"/>
      <c r="AT34" s="415"/>
      <c r="AU34" s="559"/>
      <c r="AV34" s="319"/>
      <c r="AW34" s="319"/>
      <c r="AX34" s="319"/>
      <c r="AY34" s="333"/>
      <c r="AZ34" s="333"/>
      <c r="BA34" s="183"/>
      <c r="BB34" s="331"/>
      <c r="BC34" s="331"/>
      <c r="BD34" s="331"/>
      <c r="BE34" s="331"/>
    </row>
    <row r="35" spans="1:59" s="140" customFormat="1" ht="12.75" hidden="1" customHeight="1" outlineLevel="1" x14ac:dyDescent="0.2">
      <c r="A35" s="548"/>
      <c r="B35" s="552" t="s">
        <v>339</v>
      </c>
      <c r="C35" s="464"/>
      <c r="D35" s="356"/>
      <c r="E35" s="502"/>
      <c r="F35" s="495"/>
      <c r="G35" s="505"/>
      <c r="H35" s="505"/>
      <c r="I35" s="529">
        <v>611</v>
      </c>
      <c r="J35" s="495">
        <v>1376</v>
      </c>
      <c r="K35" s="505">
        <v>1280</v>
      </c>
      <c r="L35" s="505">
        <v>1398</v>
      </c>
      <c r="M35" s="506">
        <v>1138</v>
      </c>
      <c r="N35" s="528"/>
      <c r="O35" s="528"/>
      <c r="P35" s="528"/>
      <c r="Q35" s="529"/>
      <c r="R35" s="505"/>
      <c r="S35" s="505"/>
      <c r="T35" s="505"/>
      <c r="U35" s="506"/>
      <c r="V35" s="505"/>
      <c r="W35" s="505"/>
      <c r="X35" s="505"/>
      <c r="Y35" s="506"/>
      <c r="Z35" s="549"/>
      <c r="AA35" s="318"/>
      <c r="AB35" s="318"/>
      <c r="AC35" s="319"/>
      <c r="AD35" s="318"/>
      <c r="AE35" s="505"/>
      <c r="AF35" s="506"/>
      <c r="AG35" s="505"/>
      <c r="AH35" s="505"/>
      <c r="AI35" s="505"/>
      <c r="AJ35" s="505"/>
      <c r="AK35" s="505"/>
      <c r="AL35" s="134"/>
      <c r="AM35" s="362"/>
      <c r="AN35" s="505"/>
      <c r="AO35" s="183"/>
      <c r="AP35" s="503"/>
      <c r="AQ35" s="172"/>
      <c r="AR35" s="192">
        <f>SUM(J35:M35)</f>
        <v>5192</v>
      </c>
      <c r="AS35" s="504"/>
      <c r="AT35" s="504"/>
      <c r="AU35" s="559"/>
      <c r="AV35" s="319"/>
      <c r="AW35" s="319"/>
      <c r="AX35" s="319"/>
      <c r="AY35" s="333"/>
      <c r="AZ35" s="333"/>
      <c r="BA35" s="183"/>
      <c r="BB35" s="331"/>
      <c r="BC35" s="331"/>
      <c r="BD35" s="331"/>
      <c r="BE35" s="331"/>
    </row>
    <row r="36" spans="1:59" s="140" customFormat="1" ht="12.75" hidden="1" customHeight="1" outlineLevel="1" x14ac:dyDescent="0.2">
      <c r="A36" s="548"/>
      <c r="B36" s="552" t="s">
        <v>340</v>
      </c>
      <c r="C36" s="464"/>
      <c r="D36" s="356"/>
      <c r="E36" s="502"/>
      <c r="F36" s="495"/>
      <c r="G36" s="505"/>
      <c r="H36" s="505"/>
      <c r="I36" s="529">
        <v>0</v>
      </c>
      <c r="J36" s="495">
        <v>1715</v>
      </c>
      <c r="K36" s="505">
        <v>1579</v>
      </c>
      <c r="L36" s="505">
        <v>1609</v>
      </c>
      <c r="M36" s="506">
        <v>1708</v>
      </c>
      <c r="N36" s="528"/>
      <c r="O36" s="528"/>
      <c r="P36" s="528"/>
      <c r="Q36" s="529"/>
      <c r="R36" s="505"/>
      <c r="S36" s="505"/>
      <c r="T36" s="505"/>
      <c r="U36" s="506"/>
      <c r="V36" s="505"/>
      <c r="W36" s="505"/>
      <c r="X36" s="505"/>
      <c r="Y36" s="506"/>
      <c r="Z36" s="549"/>
      <c r="AA36" s="318"/>
      <c r="AB36" s="318"/>
      <c r="AC36" s="319"/>
      <c r="AD36" s="318"/>
      <c r="AE36" s="505"/>
      <c r="AF36" s="506"/>
      <c r="AG36" s="505"/>
      <c r="AH36" s="505"/>
      <c r="AI36" s="505"/>
      <c r="AJ36" s="505"/>
      <c r="AK36" s="505"/>
      <c r="AL36" s="134"/>
      <c r="AM36" s="362"/>
      <c r="AN36" s="505"/>
      <c r="AO36" s="183"/>
      <c r="AP36" s="503"/>
      <c r="AQ36" s="172"/>
      <c r="AR36" s="282">
        <f>SUM(J36:M36)</f>
        <v>6611</v>
      </c>
      <c r="AS36" s="137"/>
      <c r="AT36" s="137"/>
      <c r="AU36" s="560"/>
      <c r="AV36" s="319"/>
      <c r="AW36" s="550"/>
      <c r="AX36" s="550"/>
      <c r="AY36" s="551"/>
      <c r="AZ36" s="551"/>
      <c r="BA36" s="183"/>
      <c r="BB36" s="331"/>
      <c r="BC36" s="331"/>
      <c r="BD36" s="331"/>
      <c r="BE36" s="331"/>
    </row>
    <row r="37" spans="1:59" s="53" customFormat="1" ht="15" hidden="1" customHeight="1" outlineLevel="1" x14ac:dyDescent="0.2">
      <c r="A37" s="575"/>
      <c r="B37" s="501" t="s">
        <v>318</v>
      </c>
      <c r="C37" s="113"/>
      <c r="D37" s="114"/>
      <c r="E37" s="502"/>
      <c r="F37" s="177"/>
      <c r="G37" s="177"/>
      <c r="H37" s="177"/>
      <c r="I37" s="566">
        <f>+I33+I34+I35+I36</f>
        <v>4808</v>
      </c>
      <c r="J37" s="177">
        <v>8342</v>
      </c>
      <c r="K37" s="177">
        <v>8506</v>
      </c>
      <c r="L37" s="177">
        <v>9222</v>
      </c>
      <c r="M37" s="178">
        <v>9425</v>
      </c>
      <c r="N37" s="177"/>
      <c r="O37" s="177"/>
      <c r="P37" s="177"/>
      <c r="Q37" s="178"/>
      <c r="R37" s="177">
        <v>9382</v>
      </c>
      <c r="S37" s="177">
        <v>8444</v>
      </c>
      <c r="T37" s="177">
        <v>9374</v>
      </c>
      <c r="U37" s="178">
        <v>9404</v>
      </c>
      <c r="V37" s="177">
        <v>9225</v>
      </c>
      <c r="W37" s="177">
        <v>9773</v>
      </c>
      <c r="X37" s="177">
        <v>8219</v>
      </c>
      <c r="Y37" s="178">
        <v>8565</v>
      </c>
      <c r="Z37" s="336" t="s">
        <v>177</v>
      </c>
      <c r="AA37" s="336" t="s">
        <v>177</v>
      </c>
      <c r="AB37" s="336" t="s">
        <v>177</v>
      </c>
      <c r="AC37" s="337" t="s">
        <v>177</v>
      </c>
      <c r="AD37" s="338" t="s">
        <v>177</v>
      </c>
      <c r="AE37" s="319" t="s">
        <v>177</v>
      </c>
      <c r="AF37" s="319" t="s">
        <v>177</v>
      </c>
      <c r="AG37" s="318" t="s">
        <v>177</v>
      </c>
      <c r="AH37" s="318" t="s">
        <v>177</v>
      </c>
      <c r="AI37" s="318" t="s">
        <v>177</v>
      </c>
      <c r="AJ37" s="318" t="s">
        <v>177</v>
      </c>
      <c r="AK37" s="318" t="s">
        <v>177</v>
      </c>
      <c r="AL37" s="324"/>
      <c r="AM37" s="239">
        <f>SUM(K37:M37)</f>
        <v>27153</v>
      </c>
      <c r="AN37" s="239">
        <f>SUM(O37:Q37)</f>
        <v>0</v>
      </c>
      <c r="AO37" s="239">
        <f>AR37-AS37</f>
        <v>35495</v>
      </c>
      <c r="AP37" s="114" t="e">
        <f>IF(OR((AO37/AS37)&gt;3,(AO37/AS37)&lt;-3),"n.m.",(AO37/AS37))</f>
        <v>#DIV/0!</v>
      </c>
      <c r="AQ37" s="324"/>
      <c r="AR37" s="133">
        <f>SUM(J37:M37)</f>
        <v>35495</v>
      </c>
      <c r="AS37" s="133"/>
      <c r="AT37" s="133"/>
      <c r="AU37" s="137"/>
      <c r="AV37" s="338"/>
      <c r="AW37" s="337"/>
      <c r="AX37" s="337"/>
      <c r="AY37" s="339"/>
      <c r="AZ37" s="339"/>
      <c r="BA37" s="8"/>
      <c r="BB37" s="488"/>
      <c r="BD37" s="140"/>
      <c r="BE37" s="140"/>
      <c r="BF37" s="140"/>
      <c r="BG37" s="140"/>
    </row>
    <row r="38" spans="1:59" s="53" customFormat="1" ht="15" customHeight="1" collapsed="1" thickTop="1" x14ac:dyDescent="0.2">
      <c r="A38" s="575"/>
      <c r="B38" s="501" t="s">
        <v>347</v>
      </c>
      <c r="C38" s="113"/>
      <c r="D38" s="114"/>
      <c r="E38" s="502"/>
      <c r="F38" s="164"/>
      <c r="G38" s="164"/>
      <c r="H38" s="164"/>
      <c r="I38" s="565"/>
      <c r="J38" s="164"/>
      <c r="K38" s="164"/>
      <c r="L38" s="164"/>
      <c r="M38" s="165"/>
      <c r="N38" s="164"/>
      <c r="O38" s="164"/>
      <c r="P38" s="164"/>
      <c r="Q38" s="165"/>
      <c r="R38" s="164"/>
      <c r="S38" s="164"/>
      <c r="T38" s="164"/>
      <c r="U38" s="165"/>
      <c r="V38" s="164"/>
      <c r="W38" s="164"/>
      <c r="X38" s="164"/>
      <c r="Y38" s="165"/>
      <c r="Z38" s="543"/>
      <c r="AA38" s="543"/>
      <c r="AB38" s="543"/>
      <c r="AC38" s="544"/>
      <c r="AD38" s="561"/>
      <c r="AE38" s="319"/>
      <c r="AF38" s="319"/>
      <c r="AG38" s="318"/>
      <c r="AH38" s="318"/>
      <c r="AI38" s="318"/>
      <c r="AJ38" s="318"/>
      <c r="AK38" s="318"/>
      <c r="AL38" s="324"/>
      <c r="AM38" s="459"/>
      <c r="AN38" s="459"/>
      <c r="AO38" s="459"/>
      <c r="AP38" s="316"/>
      <c r="AQ38" s="324"/>
      <c r="AR38" s="506">
        <f>+AR37</f>
        <v>35495</v>
      </c>
      <c r="AS38" s="506"/>
      <c r="AT38" s="506"/>
      <c r="AU38" s="506"/>
      <c r="AV38" s="319"/>
      <c r="AW38" s="544"/>
      <c r="AX38" s="544"/>
      <c r="AY38" s="545"/>
      <c r="AZ38" s="545"/>
      <c r="BA38" s="8"/>
      <c r="BB38" s="488"/>
      <c r="BD38" s="140"/>
      <c r="BE38" s="140"/>
      <c r="BF38" s="140"/>
      <c r="BG38" s="140"/>
    </row>
    <row r="39" spans="1:59" s="53" customFormat="1" ht="24.75" customHeight="1" thickBot="1" x14ac:dyDescent="0.25">
      <c r="A39" s="89" t="s">
        <v>74</v>
      </c>
      <c r="B39" s="413"/>
      <c r="C39" s="271"/>
      <c r="D39" s="123"/>
      <c r="E39" s="502"/>
      <c r="F39" s="181">
        <f t="shared" ref="F39:L39" si="9">+F32-F37</f>
        <v>0</v>
      </c>
      <c r="G39" s="181">
        <f t="shared" si="9"/>
        <v>0</v>
      </c>
      <c r="H39" s="181">
        <f t="shared" si="9"/>
        <v>0</v>
      </c>
      <c r="I39" s="182">
        <f t="shared" si="9"/>
        <v>-5384</v>
      </c>
      <c r="J39" s="181">
        <f t="shared" si="9"/>
        <v>-8200</v>
      </c>
      <c r="K39" s="181">
        <f t="shared" si="9"/>
        <v>-9500</v>
      </c>
      <c r="L39" s="181">
        <f t="shared" si="9"/>
        <v>-8922</v>
      </c>
      <c r="M39" s="182">
        <f>M32-M37</f>
        <v>-9548</v>
      </c>
      <c r="N39" s="181"/>
      <c r="O39" s="181"/>
      <c r="P39" s="181"/>
      <c r="Q39" s="182"/>
      <c r="R39" s="181">
        <f>R32-R37</f>
        <v>9122</v>
      </c>
      <c r="S39" s="181">
        <f>S32-S37</f>
        <v>8143</v>
      </c>
      <c r="T39" s="181">
        <f>T32-T37</f>
        <v>-3436</v>
      </c>
      <c r="U39" s="182">
        <f>U32-U37</f>
        <v>-1697</v>
      </c>
      <c r="V39" s="181">
        <v>-1070</v>
      </c>
      <c r="W39" s="181">
        <v>-87</v>
      </c>
      <c r="X39" s="181">
        <v>-3294</v>
      </c>
      <c r="Y39" s="182">
        <v>-3548</v>
      </c>
      <c r="Z39" s="320" t="s">
        <v>177</v>
      </c>
      <c r="AA39" s="320" t="s">
        <v>177</v>
      </c>
      <c r="AB39" s="320" t="s">
        <v>177</v>
      </c>
      <c r="AC39" s="321" t="s">
        <v>177</v>
      </c>
      <c r="AD39" s="334" t="s">
        <v>177</v>
      </c>
      <c r="AE39" s="319"/>
      <c r="AF39" s="319"/>
      <c r="AG39" s="318"/>
      <c r="AH39" s="318"/>
      <c r="AI39" s="318"/>
      <c r="AJ39" s="318"/>
      <c r="AK39" s="318"/>
      <c r="AL39" s="324"/>
      <c r="AM39" s="242">
        <f>AM32-AM37</f>
        <v>-27970</v>
      </c>
      <c r="AN39" s="242">
        <f>AN32-AN37</f>
        <v>0</v>
      </c>
      <c r="AO39" s="242">
        <f>AR39-AS39</f>
        <v>-36170</v>
      </c>
      <c r="AP39" s="123" t="e">
        <f>IF(OR((AO39/AS39)&gt;3,(AO39/AS39)&lt;-3),"n.m.",(AO39/AS39))</f>
        <v>#DIV/0!</v>
      </c>
      <c r="AQ39" s="324"/>
      <c r="AR39" s="182">
        <f>AR32-AR37</f>
        <v>-36170</v>
      </c>
      <c r="AS39" s="182"/>
      <c r="AT39" s="182"/>
      <c r="AU39" s="139"/>
      <c r="AV39" s="334"/>
      <c r="AW39" s="321"/>
      <c r="AX39" s="321"/>
      <c r="AY39" s="335"/>
      <c r="AZ39" s="335"/>
      <c r="BA39" s="8"/>
      <c r="BB39" s="488"/>
      <c r="BD39" s="140"/>
      <c r="BE39" s="140"/>
      <c r="BF39" s="140"/>
      <c r="BG39" s="140"/>
    </row>
    <row r="40" spans="1:59" ht="12.75" customHeight="1" thickTop="1" x14ac:dyDescent="0.2">
      <c r="A40" s="489"/>
      <c r="B40" s="489"/>
      <c r="C40" s="512"/>
      <c r="D40" s="513"/>
      <c r="E40" s="513"/>
      <c r="F40" s="513"/>
      <c r="G40" s="513"/>
      <c r="H40" s="513"/>
      <c r="I40" s="488"/>
      <c r="J40" s="513"/>
      <c r="K40" s="513"/>
      <c r="L40" s="513"/>
      <c r="M40" s="488"/>
      <c r="N40" s="513"/>
      <c r="O40" s="513"/>
      <c r="P40" s="513"/>
      <c r="Q40" s="488"/>
      <c r="R40" s="513"/>
      <c r="S40" s="513"/>
      <c r="T40" s="513"/>
      <c r="U40" s="488"/>
      <c r="V40" s="513"/>
      <c r="W40" s="513"/>
      <c r="X40" s="513"/>
      <c r="Y40" s="488"/>
      <c r="Z40" s="513"/>
      <c r="AA40" s="513"/>
      <c r="AB40" s="513"/>
      <c r="AC40" s="488"/>
      <c r="AD40" s="487"/>
      <c r="AE40" s="487"/>
      <c r="AF40" s="487"/>
      <c r="AG40" s="142"/>
      <c r="AH40" s="142"/>
      <c r="AI40" s="142"/>
      <c r="AJ40" s="142"/>
      <c r="AK40" s="142"/>
      <c r="AL40" s="488"/>
      <c r="AM40" s="488"/>
      <c r="AN40" s="488"/>
      <c r="AO40" s="512"/>
      <c r="AP40" s="513"/>
      <c r="AQ40" s="488"/>
      <c r="AR40" s="488"/>
      <c r="AS40" s="488"/>
      <c r="AT40" s="488"/>
      <c r="AU40" s="488"/>
      <c r="AV40" s="488"/>
      <c r="AW40" s="512"/>
      <c r="AX40" s="512"/>
      <c r="AY40" s="8"/>
      <c r="AZ40" s="8"/>
      <c r="BA40" s="8"/>
      <c r="BB40" s="488"/>
      <c r="BD40" s="486"/>
      <c r="BG40" s="486"/>
    </row>
    <row r="41" spans="1:59" ht="13.5" customHeight="1" x14ac:dyDescent="0.2">
      <c r="A41" s="92"/>
      <c r="B41" s="489"/>
      <c r="C41" s="157"/>
      <c r="D41" s="513"/>
      <c r="E41" s="513"/>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88"/>
      <c r="AM41" s="32"/>
      <c r="AN41" s="32"/>
      <c r="AO41" s="157"/>
      <c r="AP41" s="513"/>
      <c r="AQ41" s="488"/>
      <c r="AR41" s="32"/>
      <c r="AS41" s="32"/>
      <c r="AT41" s="32"/>
      <c r="AU41" s="32"/>
      <c r="AV41" s="32"/>
      <c r="AW41" s="32"/>
      <c r="AX41" s="32"/>
      <c r="AY41" s="232"/>
      <c r="AZ41" s="232"/>
      <c r="BA41" s="232"/>
      <c r="BB41" s="488"/>
      <c r="BD41" s="486"/>
      <c r="BG41" s="486"/>
    </row>
    <row r="42" spans="1:59" ht="13.5" hidden="1" customHeight="1" x14ac:dyDescent="0.2">
      <c r="A42" s="6"/>
      <c r="B42" s="489"/>
      <c r="C42" s="157"/>
      <c r="D42" s="513"/>
      <c r="E42" s="513"/>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488"/>
      <c r="AM42" s="32"/>
      <c r="AN42" s="32"/>
      <c r="AO42" s="157"/>
      <c r="AP42" s="513"/>
      <c r="AQ42" s="488"/>
      <c r="AR42" s="32"/>
      <c r="AS42" s="32"/>
      <c r="AT42" s="32"/>
      <c r="AU42" s="32"/>
      <c r="AV42" s="32"/>
      <c r="AW42" s="32"/>
      <c r="AX42" s="32"/>
      <c r="AY42" s="232"/>
      <c r="AZ42" s="232"/>
      <c r="BA42" s="232"/>
      <c r="BB42" s="488"/>
      <c r="BD42" s="486"/>
      <c r="BG42" s="486"/>
    </row>
    <row r="43" spans="1:59" ht="13.5" hidden="1" customHeight="1" x14ac:dyDescent="0.2">
      <c r="A43" s="6"/>
      <c r="B43" s="489"/>
      <c r="C43" s="157"/>
      <c r="D43" s="513"/>
      <c r="E43" s="513"/>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488"/>
      <c r="AM43" s="32"/>
      <c r="AN43" s="32"/>
      <c r="AO43" s="157"/>
      <c r="AP43" s="513"/>
      <c r="AQ43" s="488"/>
      <c r="AR43" s="32"/>
      <c r="AS43" s="32"/>
      <c r="AT43" s="32"/>
      <c r="AU43" s="32"/>
      <c r="AV43" s="32"/>
      <c r="AW43" s="32"/>
      <c r="AX43" s="32"/>
      <c r="AY43" s="232"/>
      <c r="AZ43" s="232"/>
      <c r="BA43" s="232"/>
      <c r="BB43" s="488"/>
      <c r="BD43" s="486"/>
      <c r="BG43" s="486"/>
    </row>
    <row r="44" spans="1:59" ht="12.75" hidden="1" customHeight="1" x14ac:dyDescent="0.2">
      <c r="A44" s="490"/>
      <c r="B44" s="489"/>
      <c r="C44" s="157"/>
      <c r="D44" s="513"/>
      <c r="E44" s="513"/>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488"/>
      <c r="AM44" s="32"/>
      <c r="AN44" s="32"/>
      <c r="AO44" s="157"/>
      <c r="AP44" s="513"/>
      <c r="AQ44" s="488"/>
      <c r="AR44" s="32"/>
      <c r="AS44" s="32"/>
      <c r="AT44" s="32"/>
      <c r="AU44" s="32"/>
      <c r="AV44" s="32"/>
      <c r="AW44" s="32"/>
      <c r="AX44" s="32"/>
      <c r="AY44" s="225"/>
      <c r="AZ44" s="225"/>
      <c r="BA44" s="225"/>
      <c r="BB44" s="488"/>
      <c r="BD44" s="486"/>
      <c r="BG44" s="486"/>
    </row>
    <row r="45" spans="1:59" ht="13.5" hidden="1" customHeight="1" x14ac:dyDescent="0.2">
      <c r="A45" s="490"/>
      <c r="B45" s="489"/>
      <c r="C45" s="157"/>
      <c r="D45" s="513"/>
      <c r="E45" s="513"/>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488"/>
      <c r="AM45" s="32"/>
      <c r="AN45" s="32"/>
      <c r="AO45" s="157"/>
      <c r="AP45" s="513"/>
      <c r="AQ45" s="488"/>
      <c r="AR45" s="32"/>
      <c r="AS45" s="32"/>
      <c r="AT45" s="32"/>
      <c r="AU45" s="32"/>
      <c r="AV45" s="32"/>
      <c r="AW45" s="32"/>
      <c r="AX45" s="32"/>
      <c r="AY45" s="225"/>
      <c r="AZ45" s="225"/>
      <c r="BA45" s="225"/>
      <c r="BB45" s="488"/>
      <c r="BD45" s="486"/>
      <c r="BG45" s="486"/>
    </row>
    <row r="46" spans="1:59" ht="12.75" hidden="1" customHeight="1" x14ac:dyDescent="0.2">
      <c r="A46" s="489"/>
      <c r="B46" s="489"/>
      <c r="C46" s="157"/>
      <c r="D46" s="513"/>
      <c r="E46" s="513"/>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488"/>
      <c r="AM46" s="32"/>
      <c r="AN46" s="32"/>
      <c r="AO46" s="157"/>
      <c r="AP46" s="513"/>
      <c r="AQ46" s="488"/>
      <c r="AR46" s="32"/>
      <c r="AS46" s="32"/>
      <c r="AT46" s="32"/>
      <c r="AU46" s="32"/>
      <c r="AV46" s="32"/>
      <c r="AW46" s="32"/>
      <c r="AX46" s="32"/>
      <c r="AY46" s="225"/>
      <c r="AZ46" s="225"/>
      <c r="BA46" s="225"/>
      <c r="BB46" s="488"/>
      <c r="BD46" s="486"/>
      <c r="BG46" s="486"/>
    </row>
    <row r="47" spans="1:59" ht="12.75" hidden="1" customHeight="1" x14ac:dyDescent="0.2">
      <c r="A47" s="489"/>
      <c r="B47" s="489"/>
      <c r="C47" s="157"/>
      <c r="D47" s="513"/>
      <c r="E47" s="513"/>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488"/>
      <c r="AM47" s="32"/>
      <c r="AN47" s="32"/>
      <c r="AO47" s="157"/>
      <c r="AP47" s="513"/>
      <c r="AQ47" s="488"/>
      <c r="AR47" s="32"/>
      <c r="AS47" s="32"/>
      <c r="AT47" s="32"/>
      <c r="AU47" s="32"/>
      <c r="AV47" s="32"/>
      <c r="AW47" s="32"/>
      <c r="AX47" s="32"/>
      <c r="AY47" s="225"/>
      <c r="AZ47" s="225"/>
      <c r="BA47" s="225"/>
      <c r="BB47" s="488"/>
      <c r="BD47" s="486"/>
      <c r="BG47" s="486"/>
    </row>
    <row r="48" spans="1:59" ht="12.75" hidden="1" customHeight="1" x14ac:dyDescent="0.2">
      <c r="A48" s="490"/>
      <c r="B48" s="489"/>
      <c r="C48" s="157"/>
      <c r="D48" s="513"/>
      <c r="E48" s="513"/>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488"/>
      <c r="AM48" s="32"/>
      <c r="AN48" s="32"/>
      <c r="AO48" s="157"/>
      <c r="AP48" s="513"/>
      <c r="AQ48" s="488"/>
      <c r="AR48" s="32"/>
      <c r="AS48" s="32"/>
      <c r="AT48" s="32"/>
      <c r="AU48" s="32"/>
      <c r="AV48" s="32"/>
      <c r="AW48" s="32"/>
      <c r="AX48" s="32"/>
      <c r="AY48" s="225"/>
      <c r="AZ48" s="225"/>
      <c r="BA48" s="225"/>
      <c r="BB48" s="488"/>
      <c r="BD48" s="486"/>
      <c r="BG48" s="486"/>
    </row>
    <row r="49" spans="1:59" ht="12.75" hidden="1" customHeight="1" x14ac:dyDescent="0.2">
      <c r="A49" s="490"/>
      <c r="B49" s="489"/>
      <c r="C49" s="157"/>
      <c r="D49" s="513"/>
      <c r="E49" s="513"/>
      <c r="F49" s="32"/>
      <c r="G49" s="32"/>
      <c r="H49" s="32"/>
      <c r="I49" s="32"/>
      <c r="J49" s="32"/>
      <c r="K49" s="32"/>
      <c r="L49" s="32"/>
      <c r="M49" s="32"/>
      <c r="N49" s="32"/>
      <c r="O49" s="32"/>
      <c r="P49" s="32"/>
      <c r="Q49" s="32"/>
      <c r="R49" s="32"/>
      <c r="S49" s="32"/>
      <c r="T49" s="32"/>
      <c r="U49" s="32"/>
      <c r="V49" s="32"/>
      <c r="W49" s="32"/>
      <c r="X49" s="32"/>
      <c r="Y49" s="513"/>
      <c r="Z49" s="513"/>
      <c r="AA49" s="513"/>
      <c r="AB49" s="513"/>
      <c r="AC49" s="513"/>
      <c r="AD49" s="513"/>
      <c r="AE49" s="513"/>
      <c r="AF49" s="513"/>
      <c r="AG49" s="513"/>
      <c r="AH49" s="513"/>
      <c r="AI49" s="513"/>
      <c r="AJ49" s="513"/>
      <c r="AK49" s="513"/>
      <c r="AL49" s="172"/>
      <c r="AM49" s="32"/>
      <c r="AN49" s="32"/>
      <c r="AO49" s="157"/>
      <c r="AP49" s="513"/>
      <c r="AQ49" s="172"/>
      <c r="AR49" s="32"/>
      <c r="AS49" s="32"/>
      <c r="AT49" s="32"/>
      <c r="AU49" s="513"/>
      <c r="AV49" s="513"/>
      <c r="AW49" s="513"/>
      <c r="AX49" s="513"/>
      <c r="AY49" s="513"/>
      <c r="AZ49" s="340"/>
      <c r="BA49" s="225"/>
      <c r="BB49" s="488"/>
      <c r="BD49" s="486"/>
      <c r="BG49" s="486"/>
    </row>
    <row r="50" spans="1:59" ht="12.75" hidden="1" customHeight="1" x14ac:dyDescent="0.2">
      <c r="A50" s="489"/>
      <c r="B50" s="489"/>
      <c r="C50" s="512"/>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488"/>
      <c r="AD50" s="487"/>
      <c r="AE50" s="487"/>
      <c r="AF50" s="487"/>
      <c r="AG50" s="487"/>
      <c r="AH50" s="124"/>
      <c r="AI50" s="124"/>
      <c r="AJ50" s="124"/>
      <c r="AK50" s="124"/>
      <c r="AL50" s="488"/>
      <c r="AM50" s="488"/>
      <c r="AN50" s="488"/>
      <c r="AO50" s="512"/>
      <c r="AP50" s="513"/>
      <c r="AQ50" s="488"/>
      <c r="AR50" s="32"/>
      <c r="AS50" s="32"/>
      <c r="AT50" s="32"/>
      <c r="AU50" s="32"/>
      <c r="AV50" s="488"/>
      <c r="AW50" s="512"/>
      <c r="AX50" s="512"/>
      <c r="AY50" s="226"/>
      <c r="AZ50" s="226"/>
      <c r="BA50" s="226"/>
      <c r="BB50" s="488"/>
      <c r="BD50" s="486"/>
      <c r="BG50" s="486"/>
    </row>
    <row r="51" spans="1:59" ht="13.5" hidden="1" customHeight="1" x14ac:dyDescent="0.2">
      <c r="A51" s="6"/>
      <c r="B51" s="489"/>
      <c r="C51" s="512"/>
      <c r="D51" s="513"/>
      <c r="E51" s="513"/>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488"/>
      <c r="AM51" s="493"/>
      <c r="AN51" s="493"/>
      <c r="AO51" s="512"/>
      <c r="AP51" s="513"/>
      <c r="AQ51" s="488"/>
      <c r="AR51" s="512"/>
      <c r="AS51" s="512"/>
      <c r="AT51" s="512"/>
      <c r="AU51" s="512"/>
      <c r="AV51" s="512"/>
      <c r="AW51" s="512"/>
      <c r="AX51" s="512"/>
      <c r="AY51" s="226"/>
      <c r="AZ51" s="226"/>
      <c r="BA51" s="226"/>
      <c r="BB51" s="488"/>
      <c r="BD51" s="486"/>
      <c r="BG51" s="486"/>
    </row>
    <row r="52" spans="1:59" ht="13.5" hidden="1" customHeight="1" x14ac:dyDescent="0.2">
      <c r="A52" s="497"/>
      <c r="B52" s="92"/>
      <c r="C52" s="512"/>
      <c r="D52" s="513"/>
      <c r="E52" s="513"/>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488"/>
      <c r="AM52" s="493"/>
      <c r="AN52" s="493"/>
      <c r="AO52" s="512"/>
      <c r="AP52" s="513"/>
      <c r="AQ52" s="488"/>
      <c r="AR52" s="512"/>
      <c r="AS52" s="512"/>
      <c r="AT52" s="512"/>
      <c r="AU52" s="512"/>
      <c r="AV52" s="512"/>
      <c r="AW52" s="512"/>
      <c r="AX52" s="512"/>
      <c r="AY52" s="497"/>
      <c r="AZ52" s="497"/>
      <c r="BA52" s="497"/>
      <c r="BB52" s="488"/>
      <c r="BD52" s="486"/>
      <c r="BG52" s="486"/>
    </row>
    <row r="53" spans="1:59" ht="13.5" hidden="1" customHeight="1" x14ac:dyDescent="0.2">
      <c r="A53" s="497"/>
      <c r="B53" s="92"/>
      <c r="C53" s="512"/>
      <c r="D53" s="513"/>
      <c r="E53" s="520"/>
      <c r="F53" s="512"/>
      <c r="G53" s="512"/>
      <c r="H53" s="512"/>
      <c r="I53" s="512"/>
      <c r="J53" s="512"/>
      <c r="K53" s="512"/>
      <c r="L53" s="512"/>
      <c r="M53" s="512"/>
      <c r="N53" s="183"/>
      <c r="O53" s="183"/>
      <c r="P53" s="183"/>
      <c r="Q53" s="183"/>
      <c r="R53" s="183"/>
      <c r="S53" s="183"/>
      <c r="T53" s="183"/>
      <c r="U53" s="183"/>
      <c r="V53" s="512"/>
      <c r="W53" s="512"/>
      <c r="X53" s="512"/>
      <c r="Y53" s="512"/>
      <c r="Z53" s="512"/>
      <c r="AA53" s="512"/>
      <c r="AB53" s="512"/>
      <c r="AC53" s="512"/>
      <c r="AD53" s="512"/>
      <c r="AE53" s="512"/>
      <c r="AF53" s="512"/>
      <c r="AG53" s="512"/>
      <c r="AH53" s="512"/>
      <c r="AI53" s="512"/>
      <c r="AJ53" s="512"/>
      <c r="AK53" s="512"/>
      <c r="AL53" s="521"/>
      <c r="AM53" s="493"/>
      <c r="AN53" s="493"/>
      <c r="AO53" s="512"/>
      <c r="AP53" s="183"/>
      <c r="AQ53" s="521"/>
      <c r="AR53" s="512"/>
      <c r="AS53" s="183"/>
      <c r="AT53" s="183"/>
      <c r="AU53" s="183"/>
      <c r="AV53" s="183"/>
      <c r="AW53" s="183"/>
      <c r="AX53" s="512"/>
      <c r="AY53" s="489"/>
      <c r="AZ53" s="489"/>
      <c r="BA53" s="489"/>
      <c r="BB53" s="488"/>
      <c r="BD53" s="486"/>
      <c r="BG53" s="486"/>
    </row>
    <row r="54" spans="1:59" ht="12.75" hidden="1" customHeight="1" x14ac:dyDescent="0.2">
      <c r="A54" s="497"/>
      <c r="B54" s="92"/>
      <c r="C54" s="512"/>
      <c r="D54" s="513"/>
      <c r="E54" s="513"/>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488"/>
      <c r="AM54" s="493"/>
      <c r="AN54" s="493"/>
      <c r="AO54" s="512"/>
      <c r="AP54" s="513"/>
      <c r="AQ54" s="488"/>
      <c r="AR54" s="512"/>
      <c r="AS54" s="512"/>
      <c r="AT54" s="512"/>
      <c r="AU54" s="512"/>
      <c r="AV54" s="512"/>
      <c r="AW54" s="512"/>
      <c r="AX54" s="512"/>
      <c r="AY54" s="489"/>
      <c r="AZ54" s="489"/>
      <c r="BA54" s="489"/>
      <c r="BB54" s="488"/>
      <c r="BD54" s="486"/>
      <c r="BG54" s="486"/>
    </row>
    <row r="55" spans="1:59" ht="12.75" hidden="1" customHeight="1" x14ac:dyDescent="0.2">
      <c r="A55" s="497"/>
      <c r="B55" s="92"/>
      <c r="C55" s="512"/>
      <c r="D55" s="513"/>
      <c r="E55" s="513"/>
      <c r="F55" s="512"/>
      <c r="G55" s="512"/>
      <c r="H55" s="512"/>
      <c r="I55" s="512"/>
      <c r="J55" s="512"/>
      <c r="K55" s="512"/>
      <c r="L55" s="512"/>
      <c r="M55" s="512"/>
      <c r="N55" s="513"/>
      <c r="O55" s="513"/>
      <c r="P55" s="513"/>
      <c r="Q55" s="513"/>
      <c r="R55" s="513"/>
      <c r="S55" s="513"/>
      <c r="T55" s="513"/>
      <c r="U55" s="513"/>
      <c r="V55" s="512"/>
      <c r="W55" s="512"/>
      <c r="X55" s="512"/>
      <c r="Y55" s="512"/>
      <c r="Z55" s="512"/>
      <c r="AA55" s="512"/>
      <c r="AB55" s="512"/>
      <c r="AC55" s="512"/>
      <c r="AD55" s="512"/>
      <c r="AE55" s="512"/>
      <c r="AF55" s="512"/>
      <c r="AG55" s="512"/>
      <c r="AH55" s="512"/>
      <c r="AI55" s="512"/>
      <c r="AJ55" s="512"/>
      <c r="AK55" s="512"/>
      <c r="AL55" s="488"/>
      <c r="AM55" s="488"/>
      <c r="AN55" s="488"/>
      <c r="AO55" s="512"/>
      <c r="AP55" s="513"/>
      <c r="AQ55" s="488"/>
      <c r="AR55" s="513"/>
      <c r="AS55" s="513"/>
      <c r="AT55" s="513"/>
      <c r="AU55" s="513"/>
      <c r="AV55" s="513"/>
      <c r="AW55" s="513"/>
      <c r="AX55" s="512"/>
      <c r="AY55" s="489"/>
      <c r="AZ55" s="489"/>
      <c r="BA55" s="489"/>
      <c r="BB55" s="488"/>
      <c r="BD55" s="486"/>
      <c r="BG55" s="486"/>
    </row>
    <row r="56" spans="1:59" ht="12.75" hidden="1" customHeight="1" x14ac:dyDescent="0.2">
      <c r="A56" s="490"/>
      <c r="B56" s="92"/>
      <c r="C56" s="512"/>
      <c r="D56" s="513"/>
      <c r="E56" s="513"/>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488"/>
      <c r="AM56" s="493"/>
      <c r="AN56" s="493"/>
      <c r="AO56" s="512"/>
      <c r="AP56" s="513"/>
      <c r="AQ56" s="488"/>
      <c r="AR56" s="512"/>
      <c r="AS56" s="512"/>
      <c r="AT56" s="512"/>
      <c r="AU56" s="512"/>
      <c r="AV56" s="512"/>
      <c r="AW56" s="512"/>
      <c r="AX56" s="512"/>
      <c r="AY56" s="497"/>
      <c r="AZ56" s="497"/>
      <c r="BA56" s="497"/>
      <c r="BB56" s="488"/>
      <c r="BD56" s="486"/>
      <c r="BG56" s="486"/>
    </row>
    <row r="57" spans="1:59" ht="13.5" hidden="1" customHeight="1" x14ac:dyDescent="0.2">
      <c r="A57" s="494"/>
      <c r="B57" s="490"/>
      <c r="C57" s="512"/>
      <c r="D57" s="513"/>
      <c r="E57" s="513"/>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488"/>
      <c r="AM57" s="493"/>
      <c r="AN57" s="493"/>
      <c r="AO57" s="512"/>
      <c r="AP57" s="513"/>
      <c r="AQ57" s="488"/>
      <c r="AR57" s="512"/>
      <c r="AS57" s="512"/>
      <c r="AT57" s="512"/>
      <c r="AU57" s="512"/>
      <c r="AV57" s="512"/>
      <c r="AW57" s="512"/>
      <c r="AX57" s="512"/>
      <c r="AY57" s="497"/>
      <c r="AZ57" s="497"/>
      <c r="BA57" s="497"/>
      <c r="BB57" s="488"/>
      <c r="BD57" s="486"/>
      <c r="BG57" s="486"/>
    </row>
    <row r="58" spans="1:59" ht="12.75" hidden="1" customHeight="1" x14ac:dyDescent="0.2">
      <c r="A58" s="494"/>
      <c r="B58" s="490"/>
      <c r="C58" s="512"/>
      <c r="D58" s="513"/>
      <c r="E58" s="513"/>
      <c r="F58" s="512"/>
      <c r="G58" s="512"/>
      <c r="H58" s="512"/>
      <c r="I58" s="512"/>
      <c r="J58" s="512"/>
      <c r="K58" s="512"/>
      <c r="L58" s="512"/>
      <c r="M58" s="512"/>
      <c r="N58" s="183"/>
      <c r="O58" s="183"/>
      <c r="P58" s="183"/>
      <c r="Q58" s="183"/>
      <c r="R58" s="183"/>
      <c r="S58" s="183"/>
      <c r="T58" s="183"/>
      <c r="U58" s="183"/>
      <c r="V58" s="512"/>
      <c r="W58" s="512"/>
      <c r="X58" s="512"/>
      <c r="Y58" s="512"/>
      <c r="Z58" s="512"/>
      <c r="AA58" s="512"/>
      <c r="AB58" s="512"/>
      <c r="AC58" s="512"/>
      <c r="AD58" s="512"/>
      <c r="AE58" s="512"/>
      <c r="AF58" s="512"/>
      <c r="AG58" s="512"/>
      <c r="AH58" s="512"/>
      <c r="AI58" s="512"/>
      <c r="AJ58" s="512"/>
      <c r="AK58" s="512"/>
      <c r="AL58" s="521"/>
      <c r="AM58" s="493"/>
      <c r="AN58" s="493"/>
      <c r="AO58" s="512"/>
      <c r="AP58" s="513"/>
      <c r="AQ58" s="521"/>
      <c r="AR58" s="512"/>
      <c r="AS58" s="183"/>
      <c r="AT58" s="183"/>
      <c r="AU58" s="183"/>
      <c r="AV58" s="183"/>
      <c r="AW58" s="183"/>
      <c r="AX58" s="512"/>
      <c r="AY58" s="497"/>
      <c r="AZ58" s="497"/>
      <c r="BA58" s="497"/>
      <c r="BB58" s="488"/>
      <c r="BD58" s="486"/>
      <c r="BG58" s="486"/>
    </row>
    <row r="59" spans="1:59" ht="12.75" customHeight="1" x14ac:dyDescent="0.2">
      <c r="A59" s="6"/>
      <c r="B59" s="6"/>
      <c r="C59" s="488"/>
      <c r="D59" s="488"/>
      <c r="E59" s="488"/>
      <c r="F59" s="488"/>
      <c r="G59" s="488"/>
      <c r="H59" s="488"/>
      <c r="I59" s="6"/>
      <c r="J59" s="488"/>
      <c r="K59" s="488"/>
      <c r="L59" s="488"/>
      <c r="M59" s="6"/>
      <c r="N59" s="488"/>
      <c r="O59" s="488"/>
      <c r="P59" s="488"/>
      <c r="Q59" s="6"/>
      <c r="R59" s="488"/>
      <c r="S59" s="488"/>
      <c r="T59" s="488"/>
      <c r="U59" s="6"/>
      <c r="V59" s="488"/>
      <c r="W59" s="488"/>
      <c r="X59" s="488"/>
      <c r="Y59" s="6"/>
      <c r="Z59" s="488"/>
      <c r="AA59" s="488"/>
      <c r="AB59" s="488"/>
      <c r="AC59" s="6"/>
      <c r="AD59" s="488"/>
      <c r="AE59" s="488"/>
      <c r="AF59" s="488"/>
      <c r="AG59" s="488"/>
      <c r="AH59" s="488"/>
      <c r="AI59" s="488"/>
      <c r="AJ59" s="488"/>
      <c r="AK59" s="488"/>
      <c r="AL59" s="488"/>
      <c r="AM59" s="488"/>
      <c r="AN59" s="488"/>
      <c r="AO59" s="488"/>
      <c r="AP59" s="488"/>
      <c r="AQ59" s="488"/>
      <c r="AR59" s="488"/>
      <c r="AS59" s="488"/>
      <c r="AT59" s="488"/>
      <c r="AU59" s="488"/>
      <c r="AV59" s="488"/>
      <c r="AW59" s="488"/>
      <c r="AX59" s="488"/>
      <c r="AY59" s="489"/>
      <c r="AZ59" s="487"/>
      <c r="BA59" s="487"/>
      <c r="BB59" s="488"/>
      <c r="BD59" s="486"/>
      <c r="BG59" s="486"/>
    </row>
    <row r="60" spans="1:59" ht="18" customHeight="1" x14ac:dyDescent="0.2">
      <c r="A60" s="10" t="s">
        <v>252</v>
      </c>
      <c r="B60" s="6"/>
      <c r="C60" s="487"/>
      <c r="D60" s="487"/>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7"/>
      <c r="AG60" s="487"/>
      <c r="AH60" s="487"/>
      <c r="AI60" s="487"/>
      <c r="AJ60" s="487"/>
      <c r="AK60" s="487"/>
      <c r="AL60" s="487"/>
      <c r="AM60" s="487"/>
      <c r="AN60" s="487"/>
      <c r="AO60" s="488"/>
      <c r="AP60" s="488"/>
      <c r="AQ60" s="487"/>
      <c r="AR60" s="487"/>
      <c r="AS60" s="487"/>
      <c r="AT60" s="487"/>
      <c r="AU60" s="487"/>
      <c r="AV60" s="487"/>
      <c r="AW60" s="487"/>
      <c r="AX60" s="487"/>
      <c r="AY60" s="489"/>
      <c r="AZ60" s="487"/>
      <c r="BA60" s="487"/>
      <c r="BB60" s="488"/>
      <c r="BD60" s="486"/>
      <c r="BG60" s="486"/>
    </row>
    <row r="61" spans="1:59" ht="12.75" customHeight="1" x14ac:dyDescent="0.2">
      <c r="A61" s="126"/>
      <c r="B61" s="6"/>
      <c r="C61" s="487"/>
      <c r="D61" s="487"/>
      <c r="E61" s="488"/>
      <c r="F61" s="268"/>
      <c r="G61" s="268"/>
      <c r="H61" s="268"/>
      <c r="I61" s="488"/>
      <c r="J61" s="268"/>
      <c r="K61" s="268"/>
      <c r="L61" s="268"/>
      <c r="M61" s="488"/>
      <c r="N61" s="268"/>
      <c r="O61" s="488"/>
      <c r="P61" s="268"/>
      <c r="Q61" s="488"/>
      <c r="R61" s="268"/>
      <c r="S61" s="488"/>
      <c r="T61" s="268"/>
      <c r="U61" s="488"/>
      <c r="V61" s="268"/>
      <c r="W61" s="488"/>
      <c r="X61" s="268"/>
      <c r="Y61" s="488"/>
      <c r="Z61" s="268"/>
      <c r="AA61" s="488"/>
      <c r="AB61" s="488"/>
      <c r="AC61" s="488"/>
      <c r="AD61" s="488"/>
      <c r="AE61" s="488"/>
      <c r="AF61" s="487"/>
      <c r="AG61" s="487"/>
      <c r="AH61" s="487"/>
      <c r="AI61" s="487"/>
      <c r="AJ61" s="487"/>
      <c r="AK61" s="487"/>
      <c r="AL61" s="487"/>
      <c r="AM61" s="487"/>
      <c r="AN61" s="487"/>
      <c r="AO61" s="488"/>
      <c r="AP61" s="488"/>
      <c r="AQ61" s="487"/>
      <c r="AR61" s="487"/>
      <c r="AS61" s="487"/>
      <c r="AT61" s="487"/>
      <c r="AU61" s="487"/>
      <c r="AV61" s="487"/>
      <c r="AW61" s="487"/>
      <c r="AX61" s="487"/>
      <c r="AY61" s="224"/>
      <c r="AZ61" s="224"/>
      <c r="BA61" s="224"/>
      <c r="BB61" s="488"/>
      <c r="BD61" s="486"/>
      <c r="BG61" s="486"/>
    </row>
    <row r="62" spans="1:59" ht="12.75" customHeight="1" x14ac:dyDescent="0.2">
      <c r="A62" s="5"/>
      <c r="B62" s="6"/>
      <c r="C62" s="2493"/>
      <c r="D62" s="2494"/>
      <c r="E62" s="187"/>
      <c r="F62" s="276"/>
      <c r="G62" s="276"/>
      <c r="H62" s="276"/>
      <c r="I62" s="17"/>
      <c r="J62" s="276"/>
      <c r="K62" s="276"/>
      <c r="L62" s="276"/>
      <c r="M62" s="17"/>
      <c r="N62" s="15"/>
      <c r="O62" s="16"/>
      <c r="P62" s="276"/>
      <c r="Q62" s="17"/>
      <c r="R62" s="15"/>
      <c r="S62" s="16"/>
      <c r="T62" s="276"/>
      <c r="U62" s="17"/>
      <c r="W62" s="16"/>
      <c r="X62" s="2"/>
      <c r="Y62" s="17"/>
      <c r="Z62" s="16"/>
      <c r="AB62" s="276"/>
      <c r="AC62" s="17"/>
      <c r="AD62" s="16"/>
      <c r="AE62" s="16"/>
      <c r="AF62" s="16"/>
      <c r="AG62" s="16"/>
      <c r="AH62" s="20"/>
      <c r="AI62" s="17"/>
      <c r="AJ62" s="17"/>
      <c r="AK62" s="17"/>
      <c r="AL62" s="22"/>
      <c r="AM62" s="450" t="s">
        <v>311</v>
      </c>
      <c r="AN62" s="438"/>
      <c r="AO62" s="438" t="s">
        <v>296</v>
      </c>
      <c r="AP62" s="439"/>
      <c r="AQ62" s="13"/>
      <c r="AR62" s="46"/>
      <c r="AS62" s="46"/>
      <c r="AT62" s="46"/>
      <c r="AU62" s="46"/>
      <c r="AV62" s="46"/>
      <c r="AW62" s="129"/>
      <c r="AX62" s="127"/>
      <c r="AY62" s="46"/>
      <c r="AZ62" s="46"/>
      <c r="BA62" s="46"/>
      <c r="BB62" s="108"/>
      <c r="BD62" s="486"/>
      <c r="BG62" s="486"/>
    </row>
    <row r="63" spans="1:59" ht="12.75" customHeight="1" x14ac:dyDescent="0.2">
      <c r="A63" s="5" t="s">
        <v>95</v>
      </c>
      <c r="B63" s="6"/>
      <c r="C63" s="2495"/>
      <c r="D63" s="2496"/>
      <c r="E63" s="358"/>
      <c r="F63" s="19" t="s">
        <v>330</v>
      </c>
      <c r="G63" s="19" t="s">
        <v>329</v>
      </c>
      <c r="H63" s="19" t="s">
        <v>328</v>
      </c>
      <c r="I63" s="12" t="s">
        <v>326</v>
      </c>
      <c r="J63" s="19" t="s">
        <v>282</v>
      </c>
      <c r="K63" s="19" t="s">
        <v>283</v>
      </c>
      <c r="L63" s="19" t="s">
        <v>284</v>
      </c>
      <c r="M63" s="12" t="s">
        <v>285</v>
      </c>
      <c r="N63" s="18" t="s">
        <v>220</v>
      </c>
      <c r="O63" s="19" t="s">
        <v>221</v>
      </c>
      <c r="P63" s="19" t="s">
        <v>222</v>
      </c>
      <c r="Q63" s="12" t="s">
        <v>219</v>
      </c>
      <c r="R63" s="18" t="s">
        <v>185</v>
      </c>
      <c r="S63" s="19" t="s">
        <v>186</v>
      </c>
      <c r="T63" s="19" t="s">
        <v>187</v>
      </c>
      <c r="U63" s="12" t="s">
        <v>188</v>
      </c>
      <c r="V63" s="19" t="s">
        <v>118</v>
      </c>
      <c r="W63" s="19" t="s">
        <v>117</v>
      </c>
      <c r="X63" s="19" t="s">
        <v>116</v>
      </c>
      <c r="Y63" s="12" t="s">
        <v>115</v>
      </c>
      <c r="Z63" s="19" t="s">
        <v>83</v>
      </c>
      <c r="AA63" s="19" t="s">
        <v>84</v>
      </c>
      <c r="AB63" s="19" t="s">
        <v>85</v>
      </c>
      <c r="AC63" s="12" t="s">
        <v>30</v>
      </c>
      <c r="AD63" s="19" t="s">
        <v>31</v>
      </c>
      <c r="AE63" s="19" t="s">
        <v>32</v>
      </c>
      <c r="AF63" s="19" t="s">
        <v>33</v>
      </c>
      <c r="AG63" s="19" t="s">
        <v>34</v>
      </c>
      <c r="AH63" s="21" t="s">
        <v>35</v>
      </c>
      <c r="AI63" s="12" t="s">
        <v>36</v>
      </c>
      <c r="AJ63" s="12" t="s">
        <v>37</v>
      </c>
      <c r="AK63" s="12" t="s">
        <v>38</v>
      </c>
      <c r="AL63" s="187"/>
      <c r="AM63" s="19" t="s">
        <v>283</v>
      </c>
      <c r="AN63" s="19" t="s">
        <v>221</v>
      </c>
      <c r="AO63" s="2497" t="s">
        <v>39</v>
      </c>
      <c r="AP63" s="2496"/>
      <c r="AQ63" s="130"/>
      <c r="AR63" s="18" t="s">
        <v>287</v>
      </c>
      <c r="AS63" s="18" t="s">
        <v>224</v>
      </c>
      <c r="AT63" s="18"/>
      <c r="AU63" s="18"/>
      <c r="AV63" s="18"/>
      <c r="AW63" s="18"/>
      <c r="AX63" s="21"/>
      <c r="AY63" s="21"/>
      <c r="AZ63" s="21"/>
      <c r="BA63" s="21"/>
      <c r="BB63" s="108"/>
      <c r="BD63" s="486"/>
      <c r="BG63" s="486"/>
    </row>
    <row r="64" spans="1:59" ht="12.75" customHeight="1" x14ac:dyDescent="0.2">
      <c r="A64" s="93"/>
      <c r="B64" s="488" t="s">
        <v>4</v>
      </c>
      <c r="C64" s="265"/>
      <c r="D64" s="503"/>
      <c r="E64" s="47"/>
      <c r="F64" s="499"/>
      <c r="G64" s="499"/>
      <c r="H64" s="499"/>
      <c r="I64" s="500">
        <f>+I15</f>
        <v>755</v>
      </c>
      <c r="J64" s="499">
        <f>+J15</f>
        <v>1298</v>
      </c>
      <c r="K64" s="499">
        <f>+K15</f>
        <v>178</v>
      </c>
      <c r="L64" s="499">
        <f>+L15</f>
        <v>1153</v>
      </c>
      <c r="M64" s="500">
        <f>+M15</f>
        <v>844</v>
      </c>
      <c r="N64" s="499">
        <f t="shared" ref="N64:U64" si="10">N15</f>
        <v>0</v>
      </c>
      <c r="O64" s="499">
        <f t="shared" si="10"/>
        <v>0</v>
      </c>
      <c r="P64" s="499">
        <f t="shared" si="10"/>
        <v>0</v>
      </c>
      <c r="Q64" s="500">
        <f t="shared" si="10"/>
        <v>0</v>
      </c>
      <c r="R64" s="499">
        <f t="shared" si="10"/>
        <v>72704</v>
      </c>
      <c r="S64" s="499">
        <f t="shared" si="10"/>
        <v>68599</v>
      </c>
      <c r="T64" s="499">
        <f t="shared" si="10"/>
        <v>44539</v>
      </c>
      <c r="U64" s="500">
        <f t="shared" si="10"/>
        <v>47207</v>
      </c>
      <c r="V64" s="499">
        <v>54990</v>
      </c>
      <c r="W64" s="499">
        <v>51733</v>
      </c>
      <c r="X64" s="499">
        <v>40138</v>
      </c>
      <c r="Y64" s="500">
        <v>40185</v>
      </c>
      <c r="Z64" s="248">
        <v>37255</v>
      </c>
      <c r="AA64" s="499">
        <v>33532</v>
      </c>
      <c r="AB64" s="499">
        <v>43844</v>
      </c>
      <c r="AC64" s="500">
        <v>57853</v>
      </c>
      <c r="AD64" s="117">
        <v>54463</v>
      </c>
      <c r="AE64" s="142">
        <v>61166</v>
      </c>
      <c r="AF64" s="142">
        <v>57415</v>
      </c>
      <c r="AG64" s="146">
        <v>76083</v>
      </c>
      <c r="AH64" s="156">
        <v>75876</v>
      </c>
      <c r="AI64" s="146">
        <v>68831</v>
      </c>
      <c r="AJ64" s="146">
        <v>55626</v>
      </c>
      <c r="AK64" s="155">
        <v>72286</v>
      </c>
      <c r="AL64" s="47"/>
      <c r="AM64" s="499">
        <f>SUM(K64:M64)</f>
        <v>2175</v>
      </c>
      <c r="AN64" s="499">
        <f>SUM(O64:Q64)</f>
        <v>0</v>
      </c>
      <c r="AO64" s="512">
        <f>AR64-AS64</f>
        <v>3473</v>
      </c>
      <c r="AP64" s="351" t="e">
        <f>IF(OR((AO64/AS64)&gt;3,(AO64/AS64)&lt;-3),"n.m.",(AO64/AS64))</f>
        <v>#DIV/0!</v>
      </c>
      <c r="AQ64" s="487"/>
      <c r="AR64" s="504">
        <f>SUM(J64:M64)</f>
        <v>3473</v>
      </c>
      <c r="AS64" s="492">
        <f>SUM(N64:Q64)</f>
        <v>0</v>
      </c>
      <c r="AT64" s="492"/>
      <c r="AU64" s="492"/>
      <c r="AV64" s="492"/>
      <c r="AW64" s="154"/>
      <c r="AX64" s="156"/>
      <c r="AY64" s="156"/>
      <c r="AZ64" s="156"/>
      <c r="BA64" s="156"/>
      <c r="BB64" s="108"/>
      <c r="BD64" s="486"/>
      <c r="BG64" s="486"/>
    </row>
    <row r="65" spans="1:59" ht="12.75" customHeight="1" x14ac:dyDescent="0.2">
      <c r="A65" s="487"/>
      <c r="B65" s="488" t="s">
        <v>82</v>
      </c>
      <c r="C65" s="45"/>
      <c r="D65" s="39"/>
      <c r="E65" s="359"/>
      <c r="F65" s="267"/>
      <c r="G65" s="267"/>
      <c r="H65" s="267"/>
      <c r="I65" s="500">
        <f>+I31</f>
        <v>1331</v>
      </c>
      <c r="J65" s="267">
        <f>+J31-J28-J29</f>
        <v>1156</v>
      </c>
      <c r="K65" s="267">
        <f>+K31-K28-K29</f>
        <v>1172</v>
      </c>
      <c r="L65" s="267">
        <f>+L31-L28</f>
        <v>853</v>
      </c>
      <c r="M65" s="500">
        <f>+M31</f>
        <v>967</v>
      </c>
      <c r="N65" s="267">
        <f>N31-N28-N29</f>
        <v>0</v>
      </c>
      <c r="O65" s="267">
        <f>O31</f>
        <v>0</v>
      </c>
      <c r="P65" s="267">
        <f>P31</f>
        <v>0</v>
      </c>
      <c r="Q65" s="500">
        <f>Q31-Q30-Q28</f>
        <v>0</v>
      </c>
      <c r="R65" s="267">
        <f>R31-R30-R28</f>
        <v>54200</v>
      </c>
      <c r="S65" s="267">
        <f>S31-S30-S28</f>
        <v>52012</v>
      </c>
      <c r="T65" s="267">
        <f>T31-T30-T28</f>
        <v>38601</v>
      </c>
      <c r="U65" s="500">
        <f>U31-U30-U28</f>
        <v>39500</v>
      </c>
      <c r="V65" s="267">
        <v>46835</v>
      </c>
      <c r="W65" s="267">
        <v>42047</v>
      </c>
      <c r="X65" s="267">
        <v>35213</v>
      </c>
      <c r="Y65" s="500">
        <v>35168</v>
      </c>
      <c r="Z65" s="267">
        <v>28967</v>
      </c>
      <c r="AA65" s="267">
        <v>34689</v>
      </c>
      <c r="AB65" s="267">
        <v>35911</v>
      </c>
      <c r="AC65" s="500">
        <v>44683</v>
      </c>
      <c r="AD65" s="117">
        <v>43703</v>
      </c>
      <c r="AE65" s="142">
        <v>48132</v>
      </c>
      <c r="AF65" s="142">
        <v>44039</v>
      </c>
      <c r="AG65" s="146">
        <v>57148</v>
      </c>
      <c r="AH65" s="491">
        <v>55349</v>
      </c>
      <c r="AI65" s="146">
        <v>50178</v>
      </c>
      <c r="AJ65" s="146">
        <v>41346</v>
      </c>
      <c r="AK65" s="146">
        <v>55217</v>
      </c>
      <c r="AL65" s="47"/>
      <c r="AM65" s="499">
        <f>SUM(K65:M65)</f>
        <v>2992</v>
      </c>
      <c r="AN65" s="499">
        <f>SUM(O65:Q65)</f>
        <v>0</v>
      </c>
      <c r="AO65" s="512">
        <f>AR65-AS65</f>
        <v>4148</v>
      </c>
      <c r="AP65" s="39" t="e">
        <f>IF(OR((AO65/AS65)&gt;3,(AO65/AS65)&lt;-3),"n.m.",(AO65/AS65))</f>
        <v>#DIV/0!</v>
      </c>
      <c r="AQ65" s="487"/>
      <c r="AR65" s="492">
        <f>SUM(J65:M65)</f>
        <v>4148</v>
      </c>
      <c r="AS65" s="492">
        <f>SUM(N65:Q65)</f>
        <v>0</v>
      </c>
      <c r="AT65" s="492"/>
      <c r="AU65" s="492"/>
      <c r="AV65" s="492"/>
      <c r="AW65" s="117"/>
      <c r="AX65" s="491"/>
      <c r="AY65" s="491"/>
      <c r="AZ65" s="491"/>
      <c r="BA65" s="491"/>
      <c r="BB65" s="108"/>
      <c r="BD65" s="486"/>
      <c r="BG65" s="486"/>
    </row>
    <row r="66" spans="1:59" ht="24" x14ac:dyDescent="0.2">
      <c r="A66" s="487"/>
      <c r="B66" s="501" t="s">
        <v>179</v>
      </c>
      <c r="C66" s="45"/>
      <c r="D66" s="39"/>
      <c r="E66" s="359"/>
      <c r="F66" s="267"/>
      <c r="G66" s="267"/>
      <c r="H66" s="267"/>
      <c r="I66" s="500">
        <f>+I64-I65</f>
        <v>-576</v>
      </c>
      <c r="J66" s="267">
        <f>+J64-J65</f>
        <v>142</v>
      </c>
      <c r="K66" s="267">
        <f>+K64-K65</f>
        <v>-994</v>
      </c>
      <c r="L66" s="267">
        <f>+L64-L65</f>
        <v>300</v>
      </c>
      <c r="M66" s="500">
        <f>+M64-M65</f>
        <v>-123</v>
      </c>
      <c r="N66" s="267">
        <f t="shared" ref="N66:U66" si="11">N64-N65</f>
        <v>0</v>
      </c>
      <c r="O66" s="267">
        <f t="shared" si="11"/>
        <v>0</v>
      </c>
      <c r="P66" s="267">
        <f t="shared" si="11"/>
        <v>0</v>
      </c>
      <c r="Q66" s="500">
        <f t="shared" si="11"/>
        <v>0</v>
      </c>
      <c r="R66" s="267">
        <f t="shared" si="11"/>
        <v>18504</v>
      </c>
      <c r="S66" s="267">
        <f t="shared" si="11"/>
        <v>16587</v>
      </c>
      <c r="T66" s="267">
        <f t="shared" si="11"/>
        <v>5938</v>
      </c>
      <c r="U66" s="500">
        <f t="shared" si="11"/>
        <v>7707</v>
      </c>
      <c r="V66" s="267">
        <v>8155</v>
      </c>
      <c r="W66" s="267">
        <v>9686</v>
      </c>
      <c r="X66" s="267">
        <v>4925</v>
      </c>
      <c r="Y66" s="500">
        <v>5017</v>
      </c>
      <c r="Z66" s="267">
        <v>8288</v>
      </c>
      <c r="AA66" s="267">
        <v>-1157</v>
      </c>
      <c r="AB66" s="267">
        <v>7933</v>
      </c>
      <c r="AC66" s="500">
        <v>13170</v>
      </c>
      <c r="AD66" s="117">
        <v>10760</v>
      </c>
      <c r="AE66" s="142">
        <v>13034</v>
      </c>
      <c r="AF66" s="142">
        <v>13376</v>
      </c>
      <c r="AG66" s="146">
        <v>18935</v>
      </c>
      <c r="AH66" s="491">
        <v>20527</v>
      </c>
      <c r="AI66" s="146">
        <v>18653</v>
      </c>
      <c r="AJ66" s="146">
        <v>14280</v>
      </c>
      <c r="AK66" s="146">
        <v>17069</v>
      </c>
      <c r="AL66" s="47"/>
      <c r="AM66" s="499">
        <f>+AM64-AM65</f>
        <v>-817</v>
      </c>
      <c r="AN66" s="499">
        <f>+AN64-AN65</f>
        <v>0</v>
      </c>
      <c r="AO66" s="512">
        <f>AR66-AS66</f>
        <v>-675</v>
      </c>
      <c r="AP66" s="39" t="e">
        <f>IF(OR((AO66/AS66)&gt;3,(AO66/AS66)&lt;-3),"n.m.",(AO66/AS66))</f>
        <v>#DIV/0!</v>
      </c>
      <c r="AQ66" s="487"/>
      <c r="AR66" s="492">
        <f>SUM(J66:M66)</f>
        <v>-675</v>
      </c>
      <c r="AS66" s="492">
        <f>AS64-AS65</f>
        <v>0</v>
      </c>
      <c r="AT66" s="492"/>
      <c r="AU66" s="492"/>
      <c r="AV66" s="492"/>
      <c r="AW66" s="117"/>
      <c r="AX66" s="491"/>
      <c r="AY66" s="491"/>
      <c r="AZ66" s="491"/>
      <c r="BA66" s="491"/>
      <c r="BB66" s="108"/>
      <c r="BD66" s="486"/>
      <c r="BG66" s="486"/>
    </row>
    <row r="67" spans="1:59" x14ac:dyDescent="0.2">
      <c r="A67" s="487"/>
      <c r="B67" s="501" t="s">
        <v>74</v>
      </c>
      <c r="C67" s="100"/>
      <c r="D67" s="325"/>
      <c r="E67" s="359"/>
      <c r="F67" s="273"/>
      <c r="G67" s="273"/>
      <c r="H67" s="273"/>
      <c r="I67" s="256">
        <f>+I66</f>
        <v>-576</v>
      </c>
      <c r="J67" s="273">
        <f>+J66</f>
        <v>142</v>
      </c>
      <c r="K67" s="273">
        <f>+K66</f>
        <v>-994</v>
      </c>
      <c r="L67" s="273">
        <f>+L66</f>
        <v>300</v>
      </c>
      <c r="M67" s="256">
        <f>+M66</f>
        <v>-123</v>
      </c>
      <c r="N67" s="273">
        <f t="shared" ref="N67:S67" si="12">+N66-N37</f>
        <v>0</v>
      </c>
      <c r="O67" s="273">
        <f t="shared" si="12"/>
        <v>0</v>
      </c>
      <c r="P67" s="273">
        <f t="shared" si="12"/>
        <v>0</v>
      </c>
      <c r="Q67" s="256">
        <f t="shared" si="12"/>
        <v>0</v>
      </c>
      <c r="R67" s="273">
        <f t="shared" si="12"/>
        <v>9122</v>
      </c>
      <c r="S67" s="273">
        <f t="shared" si="12"/>
        <v>8143</v>
      </c>
      <c r="T67" s="273"/>
      <c r="U67" s="256"/>
      <c r="V67" s="273"/>
      <c r="W67" s="273"/>
      <c r="X67" s="273"/>
      <c r="Y67" s="256"/>
      <c r="Z67" s="273"/>
      <c r="AA67" s="273"/>
      <c r="AB67" s="273"/>
      <c r="AC67" s="256"/>
      <c r="AD67" s="141"/>
      <c r="AE67" s="148"/>
      <c r="AF67" s="148"/>
      <c r="AG67" s="149"/>
      <c r="AH67" s="136"/>
      <c r="AI67" s="149"/>
      <c r="AJ67" s="149"/>
      <c r="AK67" s="149"/>
      <c r="AL67" s="47"/>
      <c r="AM67" s="273">
        <f>+AM66-AM37</f>
        <v>-27970</v>
      </c>
      <c r="AN67" s="273">
        <f>+AN66-AN37</f>
        <v>0</v>
      </c>
      <c r="AO67" s="273">
        <f>AR67-AS67</f>
        <v>-675</v>
      </c>
      <c r="AP67" s="325" t="e">
        <f>IF(OR((AO67/AS67)&gt;3,(AO67/AS67)&lt;-3),"n.m.",(AO67/AS67))</f>
        <v>#DIV/0!</v>
      </c>
      <c r="AQ67" s="487"/>
      <c r="AR67" s="131">
        <f>SUM(J67:M67)</f>
        <v>-675</v>
      </c>
      <c r="AS67" s="131">
        <f>+AS66-AS37</f>
        <v>0</v>
      </c>
      <c r="AT67" s="131"/>
      <c r="AU67" s="131"/>
      <c r="AV67" s="131"/>
      <c r="AW67" s="141"/>
      <c r="AX67" s="136"/>
      <c r="AY67" s="136"/>
      <c r="AZ67" s="136"/>
      <c r="BA67" s="136"/>
      <c r="BB67" s="108"/>
      <c r="BD67" s="486"/>
      <c r="BG67" s="486"/>
    </row>
    <row r="68" spans="1:59" ht="12.75" customHeight="1" x14ac:dyDescent="0.2">
      <c r="A68" s="487"/>
      <c r="B68" s="488"/>
      <c r="C68" s="99"/>
      <c r="D68" s="9"/>
      <c r="E68" s="9"/>
      <c r="F68" s="9"/>
      <c r="G68" s="9"/>
      <c r="H68" s="9"/>
      <c r="I68" s="488"/>
      <c r="J68" s="9"/>
      <c r="K68" s="9"/>
      <c r="L68" s="9"/>
      <c r="M68" s="488"/>
      <c r="N68" s="283"/>
      <c r="O68" s="9"/>
      <c r="P68" s="9"/>
      <c r="Q68" s="488"/>
      <c r="R68" s="9"/>
      <c r="S68" s="9"/>
      <c r="T68" s="9"/>
      <c r="U68" s="488"/>
      <c r="V68" s="9"/>
      <c r="W68" s="9"/>
      <c r="X68" s="9"/>
      <c r="Y68" s="488"/>
      <c r="Z68" s="9"/>
      <c r="AA68" s="9"/>
      <c r="AB68" s="9"/>
      <c r="AC68" s="488"/>
      <c r="AD68" s="487"/>
      <c r="AE68" s="487"/>
      <c r="AF68" s="487"/>
      <c r="AG68" s="487"/>
      <c r="AH68" s="487"/>
      <c r="AI68" s="487"/>
      <c r="AJ68" s="487"/>
      <c r="AK68" s="487"/>
      <c r="AL68" s="488"/>
      <c r="AM68" s="488"/>
      <c r="AN68" s="488"/>
      <c r="AO68" s="99"/>
      <c r="AP68" s="9"/>
      <c r="AQ68" s="488"/>
      <c r="AR68" s="488"/>
      <c r="AS68" s="488"/>
      <c r="AT68" s="488"/>
      <c r="AU68" s="488"/>
      <c r="AV68" s="488"/>
      <c r="AW68" s="487"/>
      <c r="AX68" s="487"/>
      <c r="AY68" s="512"/>
      <c r="AZ68" s="512"/>
      <c r="BA68" s="512"/>
      <c r="BB68" s="488"/>
      <c r="BD68" s="486"/>
      <c r="BG68" s="486"/>
    </row>
    <row r="69" spans="1:59" ht="12.75" customHeight="1" x14ac:dyDescent="0.2">
      <c r="A69" s="487"/>
      <c r="B69" s="490" t="s">
        <v>77</v>
      </c>
      <c r="C69" s="157"/>
      <c r="D69" s="9"/>
      <c r="E69" s="9"/>
      <c r="F69" s="9"/>
      <c r="G69" s="9"/>
      <c r="H69" s="9"/>
      <c r="I69" s="9">
        <f>+(I65-I19-I20)/I15</f>
        <v>0.85298013245033111</v>
      </c>
      <c r="J69" s="9">
        <f>+(J65-J19-J20)/J15</f>
        <v>0.27041602465331277</v>
      </c>
      <c r="K69" s="9">
        <f>+(K65-K19-K20)/K15</f>
        <v>1.848314606741573</v>
      </c>
      <c r="L69" s="9">
        <f>+(L65-L19-L20)/L15</f>
        <v>0.45186470078057239</v>
      </c>
      <c r="M69" s="9">
        <f t="shared" ref="M69:U69" si="13">(M21+M22+M23+M24+M25+M26+M27)/M64</f>
        <v>0.46919431279620855</v>
      </c>
      <c r="N69" s="9" t="e">
        <f t="shared" si="13"/>
        <v>#DIV/0!</v>
      </c>
      <c r="O69" s="9" t="e">
        <f t="shared" si="13"/>
        <v>#DIV/0!</v>
      </c>
      <c r="P69" s="9" t="e">
        <f t="shared" si="13"/>
        <v>#DIV/0!</v>
      </c>
      <c r="Q69" s="9" t="e">
        <f t="shared" si="13"/>
        <v>#DIV/0!</v>
      </c>
      <c r="R69" s="9">
        <f t="shared" si="13"/>
        <v>0.18037522007042253</v>
      </c>
      <c r="S69" s="9">
        <f t="shared" si="13"/>
        <v>0.18236417440487471</v>
      </c>
      <c r="T69" s="9">
        <f t="shared" si="13"/>
        <v>0.27443364242573925</v>
      </c>
      <c r="U69" s="9">
        <f t="shared" si="13"/>
        <v>0.26133836083631667</v>
      </c>
      <c r="V69" s="9">
        <v>0.27384979087106748</v>
      </c>
      <c r="W69" s="9">
        <v>0.26397077300755806</v>
      </c>
      <c r="X69" s="9">
        <v>0.28613782450545616</v>
      </c>
      <c r="Y69" s="9">
        <v>0.3055617767823815</v>
      </c>
      <c r="Z69" s="9">
        <v>0.30438867266138775</v>
      </c>
      <c r="AA69" s="9">
        <v>0.52001073601336034</v>
      </c>
      <c r="AB69" s="9">
        <v>0.28095064318949003</v>
      </c>
      <c r="AC69" s="9">
        <v>0.24116294747031269</v>
      </c>
      <c r="AD69" s="32">
        <v>0.27273561867689994</v>
      </c>
      <c r="AE69" s="32">
        <v>0.26800000000000002</v>
      </c>
      <c r="AF69" s="32">
        <v>0.26400000000000001</v>
      </c>
      <c r="AG69" s="32">
        <v>0.20299999999999996</v>
      </c>
      <c r="AH69" s="32">
        <v>0.19</v>
      </c>
      <c r="AI69" s="32">
        <v>0.22199999999999998</v>
      </c>
      <c r="AJ69" s="32">
        <v>0.24399999999999999</v>
      </c>
      <c r="AK69" s="32">
        <v>0.255</v>
      </c>
      <c r="AL69" s="488"/>
      <c r="AM69" s="9">
        <f>+(AM65-AM19-AM20)/AM15</f>
        <v>0.57287356321839078</v>
      </c>
      <c r="AN69" s="9" t="e">
        <f>(AN21+AN22+AN23+AN24+AN25+AN26+AN27)/AN64</f>
        <v>#DIV/0!</v>
      </c>
      <c r="AO69" s="157" t="e">
        <f>(AR69-AS69)*100</f>
        <v>#DIV/0!</v>
      </c>
      <c r="AP69" s="9"/>
      <c r="AQ69" s="488"/>
      <c r="AR69" s="9">
        <f>(AR21+AR22+AR23+AR24+AR25+AR26+AR27)/AR64</f>
        <v>0.45983299740858047</v>
      </c>
      <c r="AS69" s="9" t="e">
        <f>(AS21+AS22+AS23+AS24+AS25+AS26+AS27)/AS64</f>
        <v>#DIV/0!</v>
      </c>
      <c r="AT69" s="9"/>
      <c r="AU69" s="32"/>
      <c r="AV69" s="32"/>
      <c r="AW69" s="32"/>
      <c r="AX69" s="32"/>
      <c r="AY69" s="225"/>
      <c r="AZ69" s="225"/>
      <c r="BA69" s="225"/>
      <c r="BB69" s="488"/>
      <c r="BD69" s="486"/>
      <c r="BG69" s="486"/>
    </row>
    <row r="70" spans="1:59" ht="12.75" customHeight="1" x14ac:dyDescent="0.2">
      <c r="A70" s="487"/>
      <c r="B70" s="490" t="s">
        <v>78</v>
      </c>
      <c r="C70" s="157"/>
      <c r="D70" s="9"/>
      <c r="E70" s="9"/>
      <c r="F70" s="9"/>
      <c r="G70" s="9"/>
      <c r="H70" s="9"/>
      <c r="I70" s="9">
        <f>I65/I64</f>
        <v>1.7629139072847682</v>
      </c>
      <c r="J70" s="9">
        <f>J65/J64</f>
        <v>0.89060092449922956</v>
      </c>
      <c r="K70" s="9">
        <f>K65/K64</f>
        <v>6.584269662921348</v>
      </c>
      <c r="L70" s="9">
        <f>L65/L64</f>
        <v>0.7398091934084996</v>
      </c>
      <c r="M70" s="9">
        <f t="shared" ref="M70:U70" si="14">M65/M64</f>
        <v>1.1457345971563981</v>
      </c>
      <c r="N70" s="9" t="e">
        <f t="shared" si="14"/>
        <v>#DIV/0!</v>
      </c>
      <c r="O70" s="9" t="e">
        <f t="shared" si="14"/>
        <v>#DIV/0!</v>
      </c>
      <c r="P70" s="9" t="e">
        <f t="shared" si="14"/>
        <v>#DIV/0!</v>
      </c>
      <c r="Q70" s="9" t="e">
        <f t="shared" si="14"/>
        <v>#DIV/0!</v>
      </c>
      <c r="R70" s="9">
        <f t="shared" si="14"/>
        <v>0.74548855633802813</v>
      </c>
      <c r="S70" s="9">
        <f t="shared" si="14"/>
        <v>0.75820347235382435</v>
      </c>
      <c r="T70" s="9">
        <f t="shared" si="14"/>
        <v>0.86667864119086646</v>
      </c>
      <c r="U70" s="9">
        <f t="shared" si="14"/>
        <v>0.83674031393649251</v>
      </c>
      <c r="V70" s="9">
        <v>0.8517003091471177</v>
      </c>
      <c r="W70" s="9">
        <v>0.81276941217404752</v>
      </c>
      <c r="X70" s="9">
        <v>0.8772983207932632</v>
      </c>
      <c r="Y70" s="9">
        <v>0.87515242005723526</v>
      </c>
      <c r="Z70" s="9">
        <v>0.77753321701784994</v>
      </c>
      <c r="AA70" s="9">
        <v>1.0345043540498629</v>
      </c>
      <c r="AB70" s="9">
        <v>0.81906304169327615</v>
      </c>
      <c r="AC70" s="9">
        <v>0.77235406979759047</v>
      </c>
      <c r="AD70" s="32">
        <v>0.8024346804252428</v>
      </c>
      <c r="AE70" s="32">
        <v>0.78700000000000003</v>
      </c>
      <c r="AF70" s="32">
        <v>0.76700000000000002</v>
      </c>
      <c r="AG70" s="32">
        <v>0.751</v>
      </c>
      <c r="AH70" s="32">
        <v>0.72899999999999998</v>
      </c>
      <c r="AI70" s="32">
        <v>0.72899999999999998</v>
      </c>
      <c r="AJ70" s="32">
        <v>0.74299999999999999</v>
      </c>
      <c r="AK70" s="32">
        <v>0.76400000000000001</v>
      </c>
      <c r="AL70" s="488"/>
      <c r="AM70" s="9">
        <f>AM65/AM64</f>
        <v>1.3756321839080459</v>
      </c>
      <c r="AN70" s="9" t="e">
        <f>AN65/AN64</f>
        <v>#DIV/0!</v>
      </c>
      <c r="AO70" s="157" t="e">
        <f>(AR70-AS70)*100</f>
        <v>#DIV/0!</v>
      </c>
      <c r="AP70" s="9"/>
      <c r="AQ70" s="488"/>
      <c r="AR70" s="9">
        <f>AR65/AR64</f>
        <v>1.1943564641520299</v>
      </c>
      <c r="AS70" s="9" t="e">
        <f>AS65/AS64</f>
        <v>#DIV/0!</v>
      </c>
      <c r="AT70" s="9"/>
      <c r="AU70" s="32"/>
      <c r="AV70" s="32"/>
      <c r="AW70" s="32"/>
      <c r="AX70" s="32"/>
      <c r="AY70" s="225"/>
      <c r="AZ70" s="225"/>
      <c r="BA70" s="225"/>
      <c r="BB70" s="488"/>
      <c r="BD70" s="486"/>
      <c r="BG70" s="486"/>
    </row>
    <row r="71" spans="1:59" ht="12.75" customHeight="1" x14ac:dyDescent="0.2">
      <c r="A71" s="487"/>
      <c r="B71" s="490" t="s">
        <v>178</v>
      </c>
      <c r="C71" s="157"/>
      <c r="D71" s="9"/>
      <c r="E71" s="9"/>
      <c r="F71" s="9"/>
      <c r="G71" s="9"/>
      <c r="H71" s="9"/>
      <c r="I71" s="9">
        <f t="shared" ref="I71:U71" si="15">I66/I64</f>
        <v>-0.76291390728476827</v>
      </c>
      <c r="J71" s="9">
        <f t="shared" si="15"/>
        <v>0.10939907550077041</v>
      </c>
      <c r="K71" s="9">
        <f t="shared" si="15"/>
        <v>-5.584269662921348</v>
      </c>
      <c r="L71" s="9">
        <f>L66/L64</f>
        <v>0.26019080659150046</v>
      </c>
      <c r="M71" s="9">
        <f>M66/M64</f>
        <v>-0.14573459715639811</v>
      </c>
      <c r="N71" s="9" t="e">
        <f t="shared" si="15"/>
        <v>#DIV/0!</v>
      </c>
      <c r="O71" s="9" t="e">
        <f>O66/O64</f>
        <v>#DIV/0!</v>
      </c>
      <c r="P71" s="9" t="e">
        <f t="shared" si="15"/>
        <v>#DIV/0!</v>
      </c>
      <c r="Q71" s="9" t="e">
        <f t="shared" si="15"/>
        <v>#DIV/0!</v>
      </c>
      <c r="R71" s="9">
        <f t="shared" si="15"/>
        <v>0.25451144366197181</v>
      </c>
      <c r="S71" s="9">
        <f t="shared" si="15"/>
        <v>0.2417965276461756</v>
      </c>
      <c r="T71" s="9">
        <f t="shared" si="15"/>
        <v>0.13332135880913357</v>
      </c>
      <c r="U71" s="9">
        <f t="shared" si="15"/>
        <v>0.16325968606350752</v>
      </c>
      <c r="V71" s="9">
        <v>0.14829969085288233</v>
      </c>
      <c r="W71" s="9">
        <v>0.18723058782595248</v>
      </c>
      <c r="X71" s="9">
        <v>0.12270167920673676</v>
      </c>
      <c r="Y71" s="9">
        <v>0.12484757994276471</v>
      </c>
      <c r="Z71" s="9">
        <v>0.22246678298215006</v>
      </c>
      <c r="AA71" s="9">
        <v>-3.4504354049862816E-2</v>
      </c>
      <c r="AB71" s="9">
        <v>0.18093695830672385</v>
      </c>
      <c r="AC71" s="9">
        <v>0.22764593020240956</v>
      </c>
      <c r="AD71" s="32">
        <v>0.19756531957475718</v>
      </c>
      <c r="AE71" s="32">
        <v>0.21299999999999997</v>
      </c>
      <c r="AF71" s="32">
        <v>0.23299999999999998</v>
      </c>
      <c r="AG71" s="32">
        <v>0.249</v>
      </c>
      <c r="AH71" s="32">
        <v>0.27100000000000002</v>
      </c>
      <c r="AI71" s="32">
        <v>0.27100000000000002</v>
      </c>
      <c r="AJ71" s="32">
        <v>0.25700000000000001</v>
      </c>
      <c r="AK71" s="32">
        <v>0.23599999999999999</v>
      </c>
      <c r="AL71" s="488"/>
      <c r="AM71" s="9">
        <f>AM66/AM64</f>
        <v>-0.37563218390804598</v>
      </c>
      <c r="AN71" s="9" t="e">
        <f>AN66/AN64</f>
        <v>#DIV/0!</v>
      </c>
      <c r="AO71" s="157" t="e">
        <f>(AR71-AS71)*100</f>
        <v>#DIV/0!</v>
      </c>
      <c r="AP71" s="9"/>
      <c r="AQ71" s="488"/>
      <c r="AR71" s="9">
        <f>AR66/AR64</f>
        <v>-0.19435646415202995</v>
      </c>
      <c r="AS71" s="9" t="e">
        <f>AS66/AS64</f>
        <v>#DIV/0!</v>
      </c>
      <c r="AT71" s="9"/>
      <c r="AU71" s="32"/>
      <c r="AV71" s="32"/>
      <c r="AW71" s="32"/>
      <c r="AX71" s="32"/>
      <c r="AY71" s="225"/>
      <c r="AZ71" s="225"/>
      <c r="BA71" s="225"/>
      <c r="BB71" s="488"/>
      <c r="BD71" s="486"/>
    </row>
    <row r="72" spans="1:59" ht="12.75" customHeight="1" x14ac:dyDescent="0.2">
      <c r="A72" s="487"/>
      <c r="B72" s="490"/>
      <c r="C72" s="157"/>
      <c r="D72" s="9"/>
      <c r="E72" s="9"/>
      <c r="F72" s="9"/>
      <c r="G72" s="9"/>
      <c r="H72" s="9"/>
      <c r="I72" s="9"/>
      <c r="J72" s="9"/>
      <c r="K72" s="9"/>
      <c r="L72" s="9"/>
      <c r="M72" s="9"/>
      <c r="P72" s="9"/>
      <c r="Q72" s="9"/>
      <c r="R72" s="9"/>
      <c r="S72" s="9"/>
      <c r="T72" s="9"/>
      <c r="U72" s="9"/>
      <c r="V72" s="9"/>
      <c r="W72" s="9"/>
      <c r="X72" s="9"/>
      <c r="Y72" s="9"/>
      <c r="Z72" s="9"/>
      <c r="AA72" s="9"/>
      <c r="AB72" s="9"/>
      <c r="AC72" s="9"/>
      <c r="AD72" s="32"/>
      <c r="AE72" s="32"/>
      <c r="AF72" s="32"/>
      <c r="AG72" s="32"/>
      <c r="AH72" s="32"/>
      <c r="AI72" s="32"/>
      <c r="AJ72" s="32"/>
      <c r="AK72" s="32"/>
      <c r="AL72" s="488"/>
      <c r="AM72" s="488"/>
      <c r="AN72" s="488"/>
      <c r="AO72" s="157"/>
      <c r="AP72" s="9"/>
      <c r="AQ72" s="488"/>
      <c r="AR72" s="32"/>
      <c r="AS72" s="32"/>
      <c r="AT72" s="32"/>
      <c r="AU72" s="32"/>
      <c r="AV72" s="32"/>
      <c r="AW72" s="32"/>
      <c r="AX72" s="32"/>
      <c r="AY72" s="225"/>
      <c r="AZ72" s="225"/>
      <c r="BA72" s="225"/>
      <c r="BB72" s="488"/>
      <c r="BD72" s="486"/>
    </row>
    <row r="73" spans="1:59" ht="12.75" customHeight="1" x14ac:dyDescent="0.2">
      <c r="A73" s="10" t="s">
        <v>190</v>
      </c>
      <c r="B73" s="490"/>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6"/>
      <c r="AH73" s="488"/>
      <c r="AI73" s="6"/>
      <c r="AJ73" s="6"/>
      <c r="AK73" s="488"/>
      <c r="AL73" s="488"/>
      <c r="AM73" s="488"/>
      <c r="AN73" s="488"/>
      <c r="AO73" s="488"/>
      <c r="AP73" s="488"/>
      <c r="AQ73" s="488"/>
      <c r="AR73" s="488"/>
      <c r="AS73" s="488"/>
      <c r="AT73" s="488"/>
      <c r="AU73" s="488"/>
      <c r="AV73" s="488"/>
      <c r="AW73" s="488"/>
      <c r="AX73" s="488"/>
      <c r="AY73" s="512"/>
      <c r="AZ73" s="225"/>
      <c r="BA73" s="225"/>
      <c r="BB73" s="488"/>
      <c r="BD73" s="486"/>
    </row>
    <row r="74" spans="1:59" ht="12.75" customHeight="1" x14ac:dyDescent="0.2">
      <c r="C74" s="2493"/>
      <c r="D74" s="2494"/>
      <c r="E74" s="187"/>
      <c r="F74" s="276"/>
      <c r="G74" s="276"/>
      <c r="H74" s="276"/>
      <c r="I74" s="17"/>
      <c r="J74" s="276"/>
      <c r="K74" s="276"/>
      <c r="L74" s="276"/>
      <c r="M74" s="17"/>
      <c r="N74" s="15"/>
      <c r="O74" s="16"/>
      <c r="P74" s="276"/>
      <c r="Q74" s="17"/>
      <c r="R74" s="15"/>
      <c r="S74" s="16"/>
      <c r="T74" s="276"/>
      <c r="U74" s="17"/>
      <c r="W74" s="16"/>
      <c r="X74" s="2"/>
      <c r="Y74" s="17"/>
      <c r="Z74" s="16"/>
      <c r="AB74" s="276"/>
      <c r="AC74" s="17"/>
      <c r="AD74" s="16"/>
      <c r="AE74" s="16"/>
      <c r="AF74" s="16"/>
      <c r="AG74" s="16"/>
      <c r="AH74" s="20"/>
      <c r="AI74" s="17"/>
      <c r="AJ74" s="17"/>
      <c r="AK74" s="17"/>
      <c r="AL74" s="22"/>
      <c r="AM74" s="450" t="s">
        <v>311</v>
      </c>
      <c r="AN74" s="438"/>
      <c r="AO74" s="438" t="s">
        <v>296</v>
      </c>
      <c r="AP74" s="439"/>
      <c r="AQ74" s="488"/>
      <c r="AR74" s="46"/>
      <c r="AS74" s="46"/>
      <c r="AT74" s="46"/>
      <c r="AU74" s="46"/>
      <c r="AV74" s="46"/>
      <c r="AW74" s="129"/>
      <c r="AX74" s="127"/>
      <c r="AY74" s="46"/>
      <c r="AZ74" s="225"/>
      <c r="BA74" s="225"/>
      <c r="BB74" s="108"/>
      <c r="BD74" s="486"/>
    </row>
    <row r="75" spans="1:59" ht="12.75" customHeight="1" x14ac:dyDescent="0.2">
      <c r="C75" s="2495"/>
      <c r="D75" s="2496"/>
      <c r="E75" s="358"/>
      <c r="F75" s="19" t="s">
        <v>330</v>
      </c>
      <c r="G75" s="19" t="s">
        <v>329</v>
      </c>
      <c r="H75" s="19" t="s">
        <v>328</v>
      </c>
      <c r="I75" s="12" t="s">
        <v>326</v>
      </c>
      <c r="J75" s="19" t="s">
        <v>282</v>
      </c>
      <c r="K75" s="19" t="s">
        <v>283</v>
      </c>
      <c r="L75" s="19" t="s">
        <v>284</v>
      </c>
      <c r="M75" s="12" t="s">
        <v>285</v>
      </c>
      <c r="N75" s="18" t="s">
        <v>220</v>
      </c>
      <c r="O75" s="19" t="s">
        <v>221</v>
      </c>
      <c r="P75" s="19" t="s">
        <v>222</v>
      </c>
      <c r="Q75" s="12" t="s">
        <v>219</v>
      </c>
      <c r="R75" s="18" t="s">
        <v>185</v>
      </c>
      <c r="S75" s="19" t="s">
        <v>186</v>
      </c>
      <c r="T75" s="19" t="s">
        <v>187</v>
      </c>
      <c r="U75" s="12" t="s">
        <v>188</v>
      </c>
      <c r="V75" s="19" t="s">
        <v>118</v>
      </c>
      <c r="W75" s="19" t="s">
        <v>117</v>
      </c>
      <c r="X75" s="19" t="s">
        <v>116</v>
      </c>
      <c r="Y75" s="12" t="s">
        <v>115</v>
      </c>
      <c r="Z75" s="19" t="s">
        <v>83</v>
      </c>
      <c r="AA75" s="19" t="s">
        <v>84</v>
      </c>
      <c r="AB75" s="19" t="s">
        <v>85</v>
      </c>
      <c r="AC75" s="12" t="s">
        <v>30</v>
      </c>
      <c r="AD75" s="19" t="s">
        <v>31</v>
      </c>
      <c r="AE75" s="19" t="s">
        <v>32</v>
      </c>
      <c r="AF75" s="19" t="s">
        <v>33</v>
      </c>
      <c r="AG75" s="19" t="s">
        <v>34</v>
      </c>
      <c r="AH75" s="21" t="s">
        <v>35</v>
      </c>
      <c r="AI75" s="12" t="s">
        <v>36</v>
      </c>
      <c r="AJ75" s="12" t="s">
        <v>37</v>
      </c>
      <c r="AK75" s="12" t="s">
        <v>38</v>
      </c>
      <c r="AL75" s="187"/>
      <c r="AM75" s="19" t="s">
        <v>283</v>
      </c>
      <c r="AN75" s="19" t="s">
        <v>221</v>
      </c>
      <c r="AO75" s="2497" t="s">
        <v>39</v>
      </c>
      <c r="AP75" s="2496"/>
      <c r="AQ75" s="488"/>
      <c r="AR75" s="18" t="s">
        <v>287</v>
      </c>
      <c r="AS75" s="18" t="s">
        <v>224</v>
      </c>
      <c r="AT75" s="18"/>
      <c r="AU75" s="18"/>
      <c r="AV75" s="18"/>
      <c r="AW75" s="18"/>
      <c r="AX75" s="21"/>
      <c r="AY75" s="21"/>
      <c r="AZ75" s="225"/>
      <c r="BA75" s="225"/>
      <c r="BB75" s="108"/>
      <c r="BD75" s="486"/>
    </row>
    <row r="76" spans="1:59" ht="12.75" customHeight="1" x14ac:dyDescent="0.2">
      <c r="A76" s="487"/>
      <c r="B76" s="6" t="s">
        <v>312</v>
      </c>
      <c r="C76" s="45"/>
      <c r="D76" s="39"/>
      <c r="E76" s="47"/>
      <c r="F76" s="267"/>
      <c r="G76" s="267"/>
      <c r="H76" s="267"/>
      <c r="I76" s="417">
        <v>628</v>
      </c>
      <c r="J76" s="267">
        <v>802</v>
      </c>
      <c r="K76" s="267">
        <v>73</v>
      </c>
      <c r="L76" s="267">
        <v>929</v>
      </c>
      <c r="M76" s="417">
        <v>776</v>
      </c>
      <c r="N76" s="267"/>
      <c r="O76" s="267"/>
      <c r="P76" s="267"/>
      <c r="Q76" s="417"/>
      <c r="R76" s="267">
        <v>46851</v>
      </c>
      <c r="S76" s="267">
        <v>45775</v>
      </c>
      <c r="T76" s="267">
        <v>32880</v>
      </c>
      <c r="U76" s="417">
        <v>34953</v>
      </c>
      <c r="V76" s="267">
        <v>38197</v>
      </c>
      <c r="W76" s="267">
        <v>34040</v>
      </c>
      <c r="X76" s="267">
        <v>30370</v>
      </c>
      <c r="Y76" s="417">
        <v>29756</v>
      </c>
      <c r="Z76" s="160">
        <v>24593</v>
      </c>
      <c r="AA76" s="285">
        <v>27916</v>
      </c>
      <c r="AB76" s="364">
        <v>32886</v>
      </c>
      <c r="AC76" s="417">
        <v>42504</v>
      </c>
      <c r="AD76" s="500">
        <v>29584</v>
      </c>
      <c r="AE76" s="488"/>
      <c r="AF76" s="488"/>
      <c r="AG76" s="6"/>
      <c r="AH76" s="488"/>
      <c r="AI76" s="6"/>
      <c r="AJ76" s="6"/>
      <c r="AK76" s="488"/>
      <c r="AL76" s="47"/>
      <c r="AM76" s="499">
        <f t="shared" ref="AM76:AM81" si="16">SUM(K76:M76)</f>
        <v>1778</v>
      </c>
      <c r="AN76" s="499">
        <f t="shared" ref="AN76:AN81" si="17">SUM(O76:Q76)</f>
        <v>0</v>
      </c>
      <c r="AO76" s="283">
        <f t="shared" ref="AO76:AO82" si="18">AR76-AS76</f>
        <v>2580</v>
      </c>
      <c r="AP76" s="39" t="e">
        <f t="shared" ref="AP76:AP82" si="19">IF(OR((AO76/AS76)&gt;3,(AO76/AS76)&lt;-3),"n.m.",(AO76/AS76))</f>
        <v>#DIV/0!</v>
      </c>
      <c r="AQ76" s="488"/>
      <c r="AR76" s="492">
        <f t="shared" ref="AR76:AR81" si="20">SUM(J76:M76)</f>
        <v>2580</v>
      </c>
      <c r="AS76" s="492">
        <f t="shared" ref="AS76:AS81" si="21">SUM(N76:Q76)</f>
        <v>0</v>
      </c>
      <c r="AT76" s="492"/>
      <c r="AU76" s="492"/>
      <c r="AV76" s="492"/>
      <c r="AW76" s="154"/>
      <c r="AX76" s="156"/>
      <c r="AY76" s="227"/>
      <c r="AZ76" s="225"/>
      <c r="BA76" s="225"/>
      <c r="BB76" s="108"/>
      <c r="BD76" s="486"/>
    </row>
    <row r="77" spans="1:59" ht="12.75" customHeight="1" x14ac:dyDescent="0.2">
      <c r="A77" s="487"/>
      <c r="B77" s="6" t="s">
        <v>62</v>
      </c>
      <c r="C77" s="45"/>
      <c r="D77" s="39"/>
      <c r="E77" s="47"/>
      <c r="F77" s="267"/>
      <c r="G77" s="267"/>
      <c r="H77" s="267"/>
      <c r="I77" s="417">
        <v>-50</v>
      </c>
      <c r="J77" s="267">
        <v>330</v>
      </c>
      <c r="K77" s="267">
        <v>-22</v>
      </c>
      <c r="L77" s="267">
        <v>136</v>
      </c>
      <c r="M77" s="417">
        <v>-23</v>
      </c>
      <c r="N77" s="267"/>
      <c r="O77" s="267"/>
      <c r="P77" s="267"/>
      <c r="Q77" s="417"/>
      <c r="R77" s="267">
        <v>19176</v>
      </c>
      <c r="S77" s="267">
        <v>18914</v>
      </c>
      <c r="T77" s="267">
        <v>8124</v>
      </c>
      <c r="U77" s="417">
        <v>9445</v>
      </c>
      <c r="V77" s="267">
        <v>10808</v>
      </c>
      <c r="W77" s="267">
        <v>10384</v>
      </c>
      <c r="X77" s="267">
        <v>6254</v>
      </c>
      <c r="Y77" s="417">
        <v>5954</v>
      </c>
      <c r="Z77" s="160">
        <v>5426</v>
      </c>
      <c r="AA77" s="267">
        <v>1798</v>
      </c>
      <c r="AB77" s="417">
        <v>5110</v>
      </c>
      <c r="AC77" s="417">
        <v>8533</v>
      </c>
      <c r="AD77" s="500">
        <v>68274</v>
      </c>
      <c r="AE77" s="488"/>
      <c r="AF77" s="488"/>
      <c r="AG77" s="6"/>
      <c r="AH77" s="488"/>
      <c r="AI77" s="6"/>
      <c r="AJ77" s="6"/>
      <c r="AK77" s="488"/>
      <c r="AL77" s="47"/>
      <c r="AM77" s="499">
        <f t="shared" si="16"/>
        <v>91</v>
      </c>
      <c r="AN77" s="499">
        <f t="shared" si="17"/>
        <v>0</v>
      </c>
      <c r="AO77" s="362">
        <f t="shared" si="18"/>
        <v>421</v>
      </c>
      <c r="AP77" s="39" t="e">
        <f t="shared" si="19"/>
        <v>#DIV/0!</v>
      </c>
      <c r="AQ77" s="488"/>
      <c r="AR77" s="492">
        <f t="shared" si="20"/>
        <v>421</v>
      </c>
      <c r="AS77" s="492">
        <f t="shared" si="21"/>
        <v>0</v>
      </c>
      <c r="AT77" s="492"/>
      <c r="AU77" s="492"/>
      <c r="AV77" s="492"/>
      <c r="AW77" s="117"/>
      <c r="AX77" s="491"/>
      <c r="AY77" s="37"/>
      <c r="AZ77" s="225"/>
      <c r="BA77" s="225"/>
      <c r="BB77" s="108"/>
      <c r="BD77" s="486"/>
    </row>
    <row r="78" spans="1:59" ht="12.75" customHeight="1" x14ac:dyDescent="0.2">
      <c r="A78" s="487"/>
      <c r="B78" s="6" t="s">
        <v>203</v>
      </c>
      <c r="C78" s="45"/>
      <c r="D78" s="39"/>
      <c r="E78" s="47"/>
      <c r="F78" s="267"/>
      <c r="G78" s="267"/>
      <c r="H78" s="267"/>
      <c r="I78" s="112">
        <v>0</v>
      </c>
      <c r="J78" s="267">
        <v>0</v>
      </c>
      <c r="K78" s="267">
        <v>0</v>
      </c>
      <c r="L78" s="267">
        <v>0</v>
      </c>
      <c r="M78" s="112">
        <v>0</v>
      </c>
      <c r="N78" s="493"/>
      <c r="O78" s="493"/>
      <c r="P78" s="267"/>
      <c r="Q78" s="112"/>
      <c r="R78" s="493">
        <v>0</v>
      </c>
      <c r="S78" s="493">
        <v>50</v>
      </c>
      <c r="T78" s="267">
        <v>250</v>
      </c>
      <c r="U78" s="112">
        <v>70</v>
      </c>
      <c r="V78" s="493">
        <v>0</v>
      </c>
      <c r="W78" s="493">
        <v>0</v>
      </c>
      <c r="X78" s="493">
        <v>0</v>
      </c>
      <c r="Y78" s="112">
        <v>0</v>
      </c>
      <c r="Z78" s="493">
        <v>0</v>
      </c>
      <c r="AA78" s="493">
        <v>0</v>
      </c>
      <c r="AB78" s="112">
        <v>0</v>
      </c>
      <c r="AC78" s="112">
        <v>0</v>
      </c>
      <c r="AD78" s="493">
        <v>0</v>
      </c>
      <c r="AE78" s="493"/>
      <c r="AF78" s="493"/>
      <c r="AG78" s="493"/>
      <c r="AH78" s="493"/>
      <c r="AI78" s="493"/>
      <c r="AJ78" s="493"/>
      <c r="AK78" s="493"/>
      <c r="AL78" s="414"/>
      <c r="AM78" s="499">
        <f t="shared" si="16"/>
        <v>0</v>
      </c>
      <c r="AN78" s="499">
        <f t="shared" si="17"/>
        <v>0</v>
      </c>
      <c r="AO78" s="362">
        <f t="shared" si="18"/>
        <v>0</v>
      </c>
      <c r="AP78" s="327" t="e">
        <f t="shared" si="19"/>
        <v>#DIV/0!</v>
      </c>
      <c r="AQ78" s="493"/>
      <c r="AR78" s="492">
        <f t="shared" si="20"/>
        <v>0</v>
      </c>
      <c r="AS78" s="414">
        <f t="shared" si="21"/>
        <v>0</v>
      </c>
      <c r="AT78" s="414"/>
      <c r="AU78" s="414"/>
      <c r="AV78" s="493"/>
      <c r="AW78" s="414"/>
      <c r="AX78" s="414"/>
      <c r="AY78" s="414"/>
      <c r="AZ78" s="225"/>
      <c r="BA78" s="225"/>
      <c r="BB78" s="108"/>
      <c r="BD78" s="486"/>
    </row>
    <row r="79" spans="1:59" ht="12.75" customHeight="1" x14ac:dyDescent="0.2">
      <c r="A79" s="487"/>
      <c r="B79" s="6" t="s">
        <v>63</v>
      </c>
      <c r="C79" s="45"/>
      <c r="D79" s="327"/>
      <c r="E79" s="47"/>
      <c r="F79" s="267"/>
      <c r="G79" s="267"/>
      <c r="H79" s="267"/>
      <c r="I79" s="417">
        <v>0</v>
      </c>
      <c r="J79" s="267">
        <v>0</v>
      </c>
      <c r="K79" s="267">
        <v>0</v>
      </c>
      <c r="L79" s="267">
        <v>0</v>
      </c>
      <c r="M79" s="417">
        <v>0</v>
      </c>
      <c r="N79" s="267"/>
      <c r="O79" s="267"/>
      <c r="P79" s="267"/>
      <c r="Q79" s="417"/>
      <c r="R79" s="267">
        <v>714</v>
      </c>
      <c r="S79" s="267">
        <v>526</v>
      </c>
      <c r="T79" s="267">
        <v>321</v>
      </c>
      <c r="U79" s="417">
        <v>104</v>
      </c>
      <c r="V79" s="267">
        <v>408</v>
      </c>
      <c r="W79" s="267">
        <v>4280</v>
      </c>
      <c r="X79" s="267">
        <v>850</v>
      </c>
      <c r="Y79" s="417">
        <v>1696</v>
      </c>
      <c r="Z79" s="160">
        <v>198</v>
      </c>
      <c r="AA79" s="267">
        <v>-649</v>
      </c>
      <c r="AB79" s="417">
        <v>-226</v>
      </c>
      <c r="AC79" s="417">
        <v>548</v>
      </c>
      <c r="AD79" s="500">
        <v>5363</v>
      </c>
      <c r="AE79" s="488"/>
      <c r="AF79" s="488"/>
      <c r="AG79" s="6"/>
      <c r="AH79" s="488"/>
      <c r="AI79" s="6"/>
      <c r="AJ79" s="6"/>
      <c r="AK79" s="488"/>
      <c r="AL79" s="47"/>
      <c r="AM79" s="499">
        <f t="shared" si="16"/>
        <v>0</v>
      </c>
      <c r="AN79" s="499">
        <f t="shared" si="17"/>
        <v>0</v>
      </c>
      <c r="AO79" s="362">
        <f t="shared" si="18"/>
        <v>0</v>
      </c>
      <c r="AP79" s="327" t="e">
        <f t="shared" si="19"/>
        <v>#DIV/0!</v>
      </c>
      <c r="AQ79" s="488"/>
      <c r="AR79" s="492">
        <f t="shared" si="20"/>
        <v>0</v>
      </c>
      <c r="AS79" s="492">
        <f t="shared" si="21"/>
        <v>0</v>
      </c>
      <c r="AT79" s="492"/>
      <c r="AU79" s="492"/>
      <c r="AV79" s="492"/>
      <c r="AW79" s="117"/>
      <c r="AX79" s="491"/>
      <c r="AY79" s="37"/>
      <c r="AZ79" s="225"/>
      <c r="BA79" s="225"/>
      <c r="BB79" s="108"/>
      <c r="BD79" s="486"/>
    </row>
    <row r="80" spans="1:59" ht="12.75" customHeight="1" x14ac:dyDescent="0.2">
      <c r="A80" s="487"/>
      <c r="B80" s="6" t="s">
        <v>64</v>
      </c>
      <c r="C80" s="45"/>
      <c r="D80" s="39"/>
      <c r="E80" s="47"/>
      <c r="F80" s="267"/>
      <c r="G80" s="267"/>
      <c r="H80" s="267"/>
      <c r="I80" s="417">
        <v>177</v>
      </c>
      <c r="J80" s="267">
        <v>166</v>
      </c>
      <c r="K80" s="267">
        <v>127</v>
      </c>
      <c r="L80" s="267">
        <v>76</v>
      </c>
      <c r="M80" s="417">
        <v>86</v>
      </c>
      <c r="N80" s="267"/>
      <c r="O80" s="267"/>
      <c r="P80" s="267"/>
      <c r="Q80" s="417"/>
      <c r="R80" s="267">
        <v>3221</v>
      </c>
      <c r="S80" s="267">
        <v>2965</v>
      </c>
      <c r="T80" s="267">
        <v>2556</v>
      </c>
      <c r="U80" s="417">
        <v>2302</v>
      </c>
      <c r="V80" s="267">
        <v>2191</v>
      </c>
      <c r="W80" s="267">
        <v>2171</v>
      </c>
      <c r="X80" s="267">
        <v>2224</v>
      </c>
      <c r="Y80" s="417">
        <v>2325</v>
      </c>
      <c r="Z80" s="160">
        <v>6358</v>
      </c>
      <c r="AA80" s="267">
        <v>4010</v>
      </c>
      <c r="AB80" s="417">
        <v>5644</v>
      </c>
      <c r="AC80" s="417">
        <v>5891</v>
      </c>
      <c r="AD80" s="500">
        <v>1512</v>
      </c>
      <c r="AE80" s="488"/>
      <c r="AF80" s="488"/>
      <c r="AG80" s="6"/>
      <c r="AH80" s="488"/>
      <c r="AI80" s="6"/>
      <c r="AJ80" s="6"/>
      <c r="AK80" s="488"/>
      <c r="AL80" s="47"/>
      <c r="AM80" s="499">
        <f t="shared" si="16"/>
        <v>289</v>
      </c>
      <c r="AN80" s="499">
        <f t="shared" si="17"/>
        <v>0</v>
      </c>
      <c r="AO80" s="362">
        <f t="shared" si="18"/>
        <v>455</v>
      </c>
      <c r="AP80" s="39" t="e">
        <f t="shared" si="19"/>
        <v>#DIV/0!</v>
      </c>
      <c r="AQ80" s="488"/>
      <c r="AR80" s="492">
        <f>SUM(J80:M80)</f>
        <v>455</v>
      </c>
      <c r="AS80" s="492">
        <f t="shared" si="21"/>
        <v>0</v>
      </c>
      <c r="AT80" s="492"/>
      <c r="AU80" s="492"/>
      <c r="AV80" s="492"/>
      <c r="AW80" s="117"/>
      <c r="AX80" s="491"/>
      <c r="AY80" s="37"/>
      <c r="AZ80" s="225"/>
      <c r="BA80" s="225"/>
      <c r="BB80" s="108"/>
      <c r="BD80" s="486"/>
    </row>
    <row r="81" spans="1:56" ht="12.75" customHeight="1" x14ac:dyDescent="0.2">
      <c r="A81" s="126"/>
      <c r="B81" s="6" t="s">
        <v>65</v>
      </c>
      <c r="C81" s="45"/>
      <c r="D81" s="39"/>
      <c r="E81" s="360"/>
      <c r="F81" s="273"/>
      <c r="G81" s="273"/>
      <c r="H81" s="273"/>
      <c r="I81" s="257">
        <v>0</v>
      </c>
      <c r="J81" s="273">
        <v>0</v>
      </c>
      <c r="K81" s="273">
        <v>0</v>
      </c>
      <c r="L81" s="273">
        <v>12</v>
      </c>
      <c r="M81" s="257">
        <v>5</v>
      </c>
      <c r="N81" s="267"/>
      <c r="O81" s="267"/>
      <c r="P81" s="273"/>
      <c r="Q81" s="257"/>
      <c r="R81" s="267">
        <v>2742</v>
      </c>
      <c r="S81" s="267">
        <v>369</v>
      </c>
      <c r="T81" s="273">
        <v>408</v>
      </c>
      <c r="U81" s="257">
        <v>333</v>
      </c>
      <c r="V81" s="267">
        <v>3386</v>
      </c>
      <c r="W81" s="267">
        <v>858</v>
      </c>
      <c r="X81" s="273">
        <v>440</v>
      </c>
      <c r="Y81" s="257">
        <v>454</v>
      </c>
      <c r="Z81" s="160">
        <v>680</v>
      </c>
      <c r="AA81" s="273">
        <v>457</v>
      </c>
      <c r="AB81" s="257">
        <v>430</v>
      </c>
      <c r="AC81" s="257">
        <v>377</v>
      </c>
      <c r="AD81" s="256">
        <v>60</v>
      </c>
      <c r="AE81" s="13"/>
      <c r="AF81" s="13"/>
      <c r="AG81" s="13"/>
      <c r="AH81" s="13"/>
      <c r="AI81" s="13"/>
      <c r="AJ81" s="13"/>
      <c r="AK81" s="13"/>
      <c r="AL81" s="47"/>
      <c r="AM81" s="499">
        <f t="shared" si="16"/>
        <v>17</v>
      </c>
      <c r="AN81" s="499">
        <f t="shared" si="17"/>
        <v>0</v>
      </c>
      <c r="AO81" s="363">
        <f t="shared" si="18"/>
        <v>17</v>
      </c>
      <c r="AP81" s="101" t="e">
        <f t="shared" si="19"/>
        <v>#DIV/0!</v>
      </c>
      <c r="AQ81" s="487"/>
      <c r="AR81" s="492">
        <f t="shared" si="20"/>
        <v>17</v>
      </c>
      <c r="AS81" s="131">
        <f t="shared" si="21"/>
        <v>0</v>
      </c>
      <c r="AT81" s="131"/>
      <c r="AU81" s="131"/>
      <c r="AV81" s="131"/>
      <c r="AW81" s="141"/>
      <c r="AX81" s="136"/>
      <c r="AY81" s="105"/>
      <c r="AZ81" s="225"/>
      <c r="BA81" s="225"/>
      <c r="BB81" s="108"/>
      <c r="BD81" s="486"/>
    </row>
    <row r="82" spans="1:56" ht="12.75" customHeight="1" x14ac:dyDescent="0.2">
      <c r="A82" s="126"/>
      <c r="B82" s="6"/>
      <c r="C82" s="341"/>
      <c r="D82" s="342"/>
      <c r="E82" s="22"/>
      <c r="F82" s="241">
        <f t="shared" ref="F82:Q82" si="22">SUM(F76:F81)</f>
        <v>0</v>
      </c>
      <c r="G82" s="241">
        <f t="shared" si="22"/>
        <v>0</v>
      </c>
      <c r="H82" s="241">
        <f t="shared" si="22"/>
        <v>0</v>
      </c>
      <c r="I82" s="344">
        <f t="shared" si="22"/>
        <v>755</v>
      </c>
      <c r="J82" s="241">
        <f t="shared" si="22"/>
        <v>1298</v>
      </c>
      <c r="K82" s="241">
        <f t="shared" si="22"/>
        <v>178</v>
      </c>
      <c r="L82" s="241">
        <f t="shared" si="22"/>
        <v>1153</v>
      </c>
      <c r="M82" s="344">
        <f t="shared" si="22"/>
        <v>844</v>
      </c>
      <c r="N82" s="241">
        <f t="shared" si="22"/>
        <v>0</v>
      </c>
      <c r="O82" s="241">
        <f t="shared" si="22"/>
        <v>0</v>
      </c>
      <c r="P82" s="241">
        <f t="shared" si="22"/>
        <v>0</v>
      </c>
      <c r="Q82" s="344">
        <f t="shared" si="22"/>
        <v>0</v>
      </c>
      <c r="R82" s="241">
        <v>72704</v>
      </c>
      <c r="S82" s="241">
        <v>68599</v>
      </c>
      <c r="T82" s="241">
        <v>44539</v>
      </c>
      <c r="U82" s="344">
        <v>47207</v>
      </c>
      <c r="V82" s="241">
        <v>54990</v>
      </c>
      <c r="W82" s="241">
        <v>51733</v>
      </c>
      <c r="X82" s="241">
        <v>40138</v>
      </c>
      <c r="Y82" s="344">
        <v>40185</v>
      </c>
      <c r="Z82" s="240">
        <v>37255</v>
      </c>
      <c r="AA82" s="241">
        <v>33532</v>
      </c>
      <c r="AB82" s="344">
        <v>43844</v>
      </c>
      <c r="AC82" s="344">
        <v>57853</v>
      </c>
      <c r="AD82" s="344">
        <v>104793</v>
      </c>
      <c r="AE82" s="2"/>
      <c r="AF82" s="2"/>
      <c r="AG82" s="2"/>
      <c r="AH82" s="2"/>
      <c r="AI82" s="2"/>
      <c r="AJ82" s="2"/>
      <c r="AK82" s="2"/>
      <c r="AL82" s="22"/>
      <c r="AM82" s="241">
        <f>SUM(AM76:AM81)</f>
        <v>2175</v>
      </c>
      <c r="AN82" s="241">
        <f>SUM(AN76:AN81)</f>
        <v>0</v>
      </c>
      <c r="AO82" s="368">
        <f t="shared" si="18"/>
        <v>3473</v>
      </c>
      <c r="AP82" s="342" t="e">
        <f t="shared" si="19"/>
        <v>#DIV/0!</v>
      </c>
      <c r="AR82" s="240">
        <f>SUM(AR76:AR81)</f>
        <v>3473</v>
      </c>
      <c r="AS82" s="240">
        <f>SUM(AS76:AS81)</f>
        <v>0</v>
      </c>
      <c r="AT82" s="240"/>
      <c r="AU82" s="240"/>
      <c r="AV82" s="343"/>
      <c r="AW82" s="241"/>
      <c r="AX82" s="343"/>
      <c r="AY82" s="116"/>
      <c r="AZ82" s="225"/>
      <c r="BA82" s="225"/>
      <c r="BB82" s="108"/>
      <c r="BD82" s="486"/>
    </row>
    <row r="83" spans="1:56" ht="12.75" customHeight="1" x14ac:dyDescent="0.2">
      <c r="A83" s="6" t="s">
        <v>310</v>
      </c>
      <c r="B83" s="11"/>
      <c r="C83" s="11"/>
      <c r="D83" s="11"/>
      <c r="E83" s="11"/>
      <c r="F83" s="11"/>
      <c r="G83" s="11"/>
      <c r="H83" s="11"/>
      <c r="I83" s="13"/>
      <c r="J83" s="11"/>
      <c r="K83" s="11"/>
      <c r="L83" s="11"/>
      <c r="M83" s="13"/>
      <c r="N83" s="11"/>
      <c r="O83" s="11"/>
      <c r="P83" s="11"/>
      <c r="Q83" s="13"/>
      <c r="R83" s="11"/>
      <c r="S83" s="11"/>
      <c r="T83" s="11"/>
      <c r="U83" s="13"/>
      <c r="V83" s="11"/>
      <c r="W83" s="11"/>
      <c r="X83" s="11"/>
      <c r="Y83" s="13"/>
      <c r="Z83" s="11"/>
      <c r="AA83" s="11"/>
      <c r="AB83" s="11"/>
      <c r="AC83" s="13"/>
      <c r="AD83" s="13"/>
      <c r="AE83" s="13"/>
      <c r="AF83" s="13"/>
      <c r="AG83" s="13"/>
      <c r="AH83" s="13"/>
      <c r="AI83" s="13"/>
      <c r="AJ83" s="13"/>
      <c r="AK83" s="13"/>
      <c r="AL83" s="486"/>
      <c r="AM83" s="486"/>
      <c r="AN83" s="486"/>
      <c r="AO83" s="487"/>
      <c r="AP83" s="487"/>
      <c r="AW83" s="2"/>
      <c r="AX83" s="2"/>
      <c r="BA83" s="486"/>
      <c r="BB83" s="486"/>
      <c r="BD83" s="486"/>
    </row>
    <row r="84" spans="1:56" x14ac:dyDescent="0.2">
      <c r="A84" s="486"/>
      <c r="B84" s="486"/>
      <c r="C84" s="486"/>
      <c r="D84" s="486"/>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487"/>
      <c r="BA84" s="486"/>
      <c r="BB84" s="486"/>
      <c r="BD84" s="486"/>
    </row>
    <row r="85" spans="1:56" x14ac:dyDescent="0.2">
      <c r="I85" s="512"/>
      <c r="M85" s="512"/>
      <c r="Q85" s="512"/>
      <c r="U85" s="512"/>
      <c r="Y85" s="512"/>
      <c r="AC85" s="512"/>
      <c r="AK85" s="512"/>
      <c r="AL85" s="486"/>
      <c r="AM85" s="486"/>
      <c r="AN85" s="486"/>
      <c r="AW85" s="512"/>
      <c r="AX85" s="512"/>
      <c r="AY85" s="63"/>
      <c r="AZ85" s="63"/>
      <c r="BA85" s="486"/>
      <c r="BB85" s="486"/>
      <c r="BD85" s="486"/>
    </row>
    <row r="86" spans="1:56" x14ac:dyDescent="0.2">
      <c r="I86" s="512"/>
      <c r="M86" s="512"/>
      <c r="Q86" s="512"/>
      <c r="U86" s="512"/>
      <c r="Y86" s="512"/>
      <c r="AC86" s="512"/>
      <c r="AK86" s="512"/>
      <c r="AL86" s="486"/>
      <c r="AM86" s="486"/>
      <c r="AN86" s="486"/>
      <c r="AW86" s="512"/>
      <c r="AX86" s="512"/>
      <c r="AY86" s="63"/>
      <c r="AZ86" s="63"/>
      <c r="BA86" s="486"/>
      <c r="BB86" s="486"/>
      <c r="BD86" s="486"/>
    </row>
    <row r="87" spans="1:56" x14ac:dyDescent="0.2">
      <c r="I87" s="512"/>
      <c r="M87" s="512"/>
      <c r="Q87" s="512"/>
      <c r="U87" s="512"/>
      <c r="Y87" s="512"/>
      <c r="AC87" s="512"/>
      <c r="AK87" s="512"/>
      <c r="AL87" s="486"/>
      <c r="AM87" s="486"/>
      <c r="AN87" s="486"/>
      <c r="AW87" s="512"/>
      <c r="AX87" s="512"/>
      <c r="AZ87" s="63"/>
    </row>
    <row r="88" spans="1:56" x14ac:dyDescent="0.2">
      <c r="I88" s="512"/>
      <c r="M88" s="512"/>
      <c r="Q88" s="512"/>
      <c r="U88" s="512"/>
      <c r="Y88" s="512"/>
      <c r="AC88" s="512"/>
      <c r="AK88" s="512"/>
      <c r="AL88" s="486"/>
      <c r="AM88" s="486"/>
      <c r="AN88" s="486"/>
      <c r="AW88" s="2"/>
      <c r="AX88" s="2"/>
      <c r="AZ88" s="63"/>
    </row>
    <row r="89" spans="1:56" x14ac:dyDescent="0.2">
      <c r="I89" s="2"/>
      <c r="M89" s="2"/>
      <c r="Q89" s="2"/>
      <c r="U89" s="2"/>
      <c r="Y89" s="2"/>
      <c r="AC89" s="2"/>
      <c r="AK89" s="96"/>
      <c r="AL89" s="486"/>
      <c r="AM89" s="486"/>
      <c r="AN89" s="486"/>
      <c r="AW89" s="2"/>
      <c r="AX89" s="2"/>
      <c r="AZ89" s="63"/>
    </row>
    <row r="90" spans="1:56" x14ac:dyDescent="0.2">
      <c r="I90" s="2"/>
      <c r="M90" s="2"/>
      <c r="Q90" s="2"/>
      <c r="U90" s="2"/>
      <c r="Y90" s="2"/>
      <c r="AC90" s="2"/>
      <c r="AK90" s="97"/>
      <c r="AL90" s="486"/>
      <c r="AM90" s="486"/>
      <c r="AN90" s="486"/>
      <c r="AW90" s="2"/>
      <c r="AX90" s="2"/>
    </row>
    <row r="91" spans="1:56" x14ac:dyDescent="0.2">
      <c r="I91" s="2"/>
      <c r="M91" s="2"/>
      <c r="Q91" s="2"/>
      <c r="U91" s="2"/>
      <c r="Y91" s="2"/>
      <c r="AC91" s="2"/>
      <c r="AK91" s="97"/>
      <c r="AL91" s="486"/>
      <c r="AM91" s="486"/>
      <c r="AN91" s="486"/>
      <c r="AW91" s="29"/>
      <c r="AX91" s="29"/>
    </row>
    <row r="92" spans="1:56" x14ac:dyDescent="0.2">
      <c r="E92" s="485"/>
      <c r="F92" s="485"/>
      <c r="G92" s="485"/>
      <c r="H92" s="485"/>
      <c r="J92" s="485"/>
      <c r="K92" s="485"/>
      <c r="L92" s="485"/>
      <c r="AC92" s="9"/>
      <c r="AD92" s="32"/>
      <c r="AE92" s="32"/>
      <c r="AF92" s="32"/>
      <c r="AG92" s="32"/>
      <c r="AH92" s="32"/>
      <c r="AI92" s="32"/>
      <c r="AJ92" s="32"/>
      <c r="AK92" s="40"/>
      <c r="AL92" s="486"/>
      <c r="AM92" s="486"/>
      <c r="AN92" s="486"/>
      <c r="AW92" s="32"/>
      <c r="AX92" s="32"/>
    </row>
    <row r="93" spans="1:56" x14ac:dyDescent="0.2">
      <c r="E93" s="485"/>
      <c r="F93" s="485"/>
      <c r="G93" s="485"/>
      <c r="H93" s="485"/>
      <c r="J93" s="485"/>
      <c r="K93" s="485"/>
      <c r="L93" s="485"/>
      <c r="AC93" s="9"/>
      <c r="AD93" s="32"/>
      <c r="AE93" s="32"/>
      <c r="AF93" s="32"/>
      <c r="AG93" s="32"/>
      <c r="AH93" s="32"/>
      <c r="AI93" s="32"/>
      <c r="AJ93" s="32"/>
      <c r="AK93" s="513"/>
      <c r="AL93" s="486"/>
      <c r="AM93" s="486"/>
      <c r="AN93" s="486"/>
      <c r="AW93" s="32"/>
      <c r="AX93" s="32"/>
    </row>
    <row r="94" spans="1:56" x14ac:dyDescent="0.2">
      <c r="E94" s="485"/>
      <c r="F94" s="485"/>
      <c r="G94" s="485"/>
      <c r="H94" s="485"/>
      <c r="J94" s="485"/>
      <c r="K94" s="485"/>
      <c r="L94" s="485"/>
      <c r="AC94" s="32"/>
      <c r="AD94" s="32"/>
      <c r="AE94" s="32"/>
      <c r="AF94" s="32"/>
      <c r="AG94" s="32"/>
      <c r="AH94" s="32"/>
      <c r="AI94" s="32"/>
      <c r="AJ94" s="32"/>
      <c r="AK94" s="32"/>
      <c r="AL94" s="486"/>
      <c r="AM94" s="486"/>
      <c r="AN94" s="486"/>
      <c r="AW94" s="33"/>
      <c r="AX94" s="33"/>
    </row>
    <row r="95" spans="1:56" x14ac:dyDescent="0.2">
      <c r="E95" s="485"/>
      <c r="F95" s="485"/>
      <c r="G95" s="485"/>
      <c r="H95" s="485"/>
      <c r="J95" s="485"/>
      <c r="K95" s="485"/>
      <c r="L95" s="485"/>
      <c r="AC95" s="33"/>
      <c r="AD95" s="33"/>
      <c r="AE95" s="33"/>
      <c r="AF95" s="33"/>
      <c r="AG95" s="33"/>
      <c r="AH95" s="33"/>
      <c r="AI95" s="33"/>
      <c r="AJ95" s="33"/>
      <c r="AK95" s="33"/>
      <c r="AL95" s="486"/>
      <c r="AM95" s="486"/>
      <c r="AN95" s="486"/>
      <c r="AW95" s="33"/>
      <c r="AX95" s="33"/>
    </row>
    <row r="96" spans="1:56" x14ac:dyDescent="0.2">
      <c r="E96" s="485"/>
      <c r="F96" s="485"/>
      <c r="G96" s="485"/>
      <c r="H96" s="485"/>
      <c r="J96" s="485"/>
      <c r="K96" s="485"/>
      <c r="L96" s="485"/>
      <c r="AC96" s="33"/>
      <c r="AD96" s="33"/>
      <c r="AE96" s="33"/>
      <c r="AF96" s="33"/>
      <c r="AG96" s="33"/>
      <c r="AH96" s="33"/>
      <c r="AI96" s="33"/>
      <c r="AJ96" s="33"/>
      <c r="AK96" s="33"/>
      <c r="AL96" s="486"/>
      <c r="AM96" s="486"/>
      <c r="AN96" s="486"/>
      <c r="AW96" s="486"/>
      <c r="AX96" s="486"/>
    </row>
    <row r="97" spans="5:50" x14ac:dyDescent="0.2">
      <c r="E97" s="485"/>
      <c r="F97" s="485"/>
      <c r="G97" s="485"/>
      <c r="H97" s="485"/>
      <c r="J97" s="485"/>
      <c r="K97" s="485"/>
      <c r="L97" s="485"/>
      <c r="AC97" s="486"/>
      <c r="AD97" s="486"/>
      <c r="AE97" s="486"/>
      <c r="AF97" s="486"/>
      <c r="AG97" s="486"/>
      <c r="AH97" s="486"/>
      <c r="AI97" s="486"/>
      <c r="AJ97" s="486"/>
      <c r="AK97" s="486"/>
      <c r="AL97" s="486"/>
      <c r="AM97" s="486"/>
      <c r="AN97" s="486"/>
      <c r="AW97" s="486"/>
      <c r="AX97" s="486"/>
    </row>
    <row r="98" spans="5:50" x14ac:dyDescent="0.2">
      <c r="E98" s="485"/>
      <c r="F98" s="485"/>
      <c r="G98" s="485"/>
      <c r="H98" s="485"/>
      <c r="J98" s="485"/>
      <c r="K98" s="485"/>
      <c r="L98" s="485"/>
      <c r="AC98" s="486"/>
      <c r="AD98" s="486"/>
      <c r="AE98" s="486"/>
      <c r="AF98" s="486"/>
      <c r="AG98" s="486"/>
      <c r="AH98" s="486"/>
      <c r="AI98" s="486"/>
      <c r="AJ98" s="486"/>
      <c r="AK98" s="486"/>
      <c r="AL98" s="486"/>
      <c r="AM98" s="486"/>
      <c r="AN98" s="486"/>
      <c r="AW98" s="486"/>
      <c r="AX98" s="486"/>
    </row>
    <row r="99" spans="5:50" x14ac:dyDescent="0.2">
      <c r="E99" s="485"/>
      <c r="F99" s="485"/>
      <c r="G99" s="485"/>
      <c r="H99" s="485"/>
      <c r="J99" s="485"/>
      <c r="K99" s="485"/>
      <c r="L99" s="485"/>
      <c r="AC99" s="486"/>
      <c r="AD99" s="486"/>
      <c r="AE99" s="486"/>
      <c r="AF99" s="486"/>
      <c r="AG99" s="486"/>
      <c r="AH99" s="486"/>
      <c r="AI99" s="486"/>
      <c r="AJ99" s="486"/>
      <c r="AK99" s="486"/>
      <c r="AL99" s="486"/>
      <c r="AM99" s="486"/>
      <c r="AN99" s="486"/>
      <c r="AW99" s="486"/>
      <c r="AX99" s="486"/>
    </row>
    <row r="100" spans="5:50" x14ac:dyDescent="0.2">
      <c r="E100" s="485"/>
      <c r="F100" s="485"/>
      <c r="G100" s="485"/>
      <c r="H100" s="485"/>
      <c r="J100" s="485"/>
      <c r="K100" s="485"/>
      <c r="L100" s="485"/>
      <c r="AC100" s="486"/>
      <c r="AD100" s="486"/>
      <c r="AE100" s="486"/>
      <c r="AF100" s="486"/>
      <c r="AG100" s="486"/>
      <c r="AH100" s="486"/>
      <c r="AI100" s="486"/>
      <c r="AJ100" s="486"/>
      <c r="AK100" s="486"/>
      <c r="AL100" s="486"/>
      <c r="AM100" s="486"/>
      <c r="AN100" s="486"/>
      <c r="AW100" s="486"/>
      <c r="AX100" s="486"/>
    </row>
    <row r="101" spans="5:50" x14ac:dyDescent="0.2">
      <c r="E101" s="485"/>
      <c r="F101" s="485"/>
      <c r="G101" s="485"/>
      <c r="H101" s="485"/>
      <c r="J101" s="485"/>
      <c r="K101" s="485"/>
      <c r="L101" s="485"/>
      <c r="AC101" s="486"/>
      <c r="AD101" s="486"/>
      <c r="AE101" s="486"/>
      <c r="AF101" s="486"/>
      <c r="AG101" s="486"/>
      <c r="AH101" s="486"/>
      <c r="AI101" s="486"/>
      <c r="AJ101" s="486"/>
      <c r="AK101" s="486"/>
      <c r="AL101" s="486"/>
      <c r="AM101" s="486"/>
      <c r="AN101" s="486"/>
    </row>
  </sheetData>
  <mergeCells count="10">
    <mergeCell ref="C75:D75"/>
    <mergeCell ref="AO75:AP75"/>
    <mergeCell ref="C10:D10"/>
    <mergeCell ref="C11:D11"/>
    <mergeCell ref="AO11:AP11"/>
    <mergeCell ref="A32:B32"/>
    <mergeCell ref="C62:D62"/>
    <mergeCell ref="C63:D63"/>
    <mergeCell ref="AO63:AP63"/>
    <mergeCell ref="C74:D74"/>
  </mergeCells>
  <conditionalFormatting sqref="A73 AD69:AK72 A81:A82 AU69:AX72 AS72:AT72 A60:A61 AV49:AZ49 AV41:AX48 A44:A47 A50 AS41:AU50 A40 B40:B55 AS55:AW55 N55:U55 AM41:AN49 J41:AK49 AR42:AR49 F42:I49">
    <cfRule type="cellIs" dxfId="22" priority="3" stopIfTrue="1" operator="equal">
      <formula>0</formula>
    </cfRule>
  </conditionalFormatting>
  <conditionalFormatting sqref="AR72 AR41 AR55 AR50">
    <cfRule type="cellIs" dxfId="21" priority="2" stopIfTrue="1" operator="equal">
      <formula>0</formula>
    </cfRule>
  </conditionalFormatting>
  <conditionalFormatting sqref="F41:I41">
    <cfRule type="cellIs" dxfId="20" priority="1" stopIfTrue="1" operator="equal">
      <formula>0</formula>
    </cfRule>
  </conditionalFormatting>
  <printOptions horizontalCentered="1"/>
  <pageMargins left="0.3" right="0.3" top="0.4" bottom="0.6" header="0" footer="0.3"/>
  <pageSetup scale="65" orientation="landscape" r:id="rId1"/>
  <headerFooter alignWithMargins="0">
    <oddFooter>&amp;L&amp;F&amp;CPage 4</oddFooter>
  </headerFooter>
  <colBreaks count="1" manualBreakCount="1">
    <brk id="51" max="72"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X71"/>
  <sheetViews>
    <sheetView zoomScale="80" zoomScaleNormal="80" zoomScaleSheetLayoutView="90" zoomScalePageLayoutView="70" workbookViewId="0">
      <selection activeCell="BV39" sqref="BV39"/>
    </sheetView>
  </sheetViews>
  <sheetFormatPr defaultRowHeight="12.75" x14ac:dyDescent="0.2"/>
  <cols>
    <col min="1" max="1" width="2.7109375" style="1225" customWidth="1"/>
    <col min="2" max="2" width="40.5703125" style="1225" customWidth="1"/>
    <col min="3" max="3" width="9.5703125" style="1225" customWidth="1"/>
    <col min="4" max="4" width="9.7109375" style="1225" customWidth="1"/>
    <col min="5" max="5" width="1.5703125" style="1181" customWidth="1"/>
    <col min="6" max="8" width="8.42578125" style="1181" hidden="1" customWidth="1"/>
    <col min="9" max="9" width="9.140625" style="1181" customWidth="1"/>
    <col min="10" max="10" width="9.7109375" style="1226" customWidth="1"/>
    <col min="11" max="11" width="8.42578125" style="1226" customWidth="1"/>
    <col min="12" max="13" width="9.28515625" style="1226" customWidth="1"/>
    <col min="14" max="14" width="9.7109375" style="1226" customWidth="1"/>
    <col min="15" max="15" width="7.5703125" style="1226" bestFit="1" customWidth="1"/>
    <col min="16" max="17" width="9.28515625" style="1226" customWidth="1"/>
    <col min="18" max="36" width="9.28515625" style="1226" hidden="1" customWidth="1"/>
    <col min="37" max="37" width="7.7109375" style="1226" hidden="1" customWidth="1"/>
    <col min="38" max="40" width="7.85546875" style="1226" hidden="1" customWidth="1"/>
    <col min="41" max="41" width="7.85546875" style="1225" hidden="1" customWidth="1"/>
    <col min="42" max="42" width="8" style="1225" hidden="1" customWidth="1"/>
    <col min="43" max="43" width="7.5703125" style="1225" hidden="1" customWidth="1"/>
    <col min="44" max="46" width="7" style="1225" hidden="1" customWidth="1"/>
    <col min="47" max="49" width="7.5703125" style="1225" hidden="1" customWidth="1"/>
    <col min="50" max="50" width="1.5703125" style="1226" hidden="1" customWidth="1"/>
    <col min="51" max="54" width="10.42578125" style="1225" hidden="1" customWidth="1"/>
    <col min="55" max="55" width="1.5703125" style="1225" customWidth="1"/>
    <col min="56" max="60" width="9.7109375" style="1225" customWidth="1"/>
    <col min="61" max="68" width="9.7109375" style="1225" hidden="1" customWidth="1"/>
    <col min="69" max="69" width="1.5703125" style="1225" customWidth="1"/>
    <col min="70" max="70" width="9.140625" style="1225"/>
    <col min="71" max="16384" width="9.140625" style="1180"/>
  </cols>
  <sheetData>
    <row r="5" spans="1:76" x14ac:dyDescent="0.2">
      <c r="A5" s="1226"/>
      <c r="B5" s="1226"/>
      <c r="C5" s="1226"/>
      <c r="D5" s="1226"/>
      <c r="AO5" s="1226"/>
      <c r="AP5" s="1226"/>
      <c r="AQ5" s="1226"/>
    </row>
    <row r="6" spans="1:76" ht="18" customHeight="1" x14ac:dyDescent="0.2">
      <c r="A6" s="1227" t="s">
        <v>90</v>
      </c>
      <c r="B6" s="1226"/>
      <c r="C6" s="1226"/>
      <c r="D6" s="1226"/>
      <c r="J6" s="2146"/>
      <c r="K6" s="2146"/>
      <c r="N6" s="2146"/>
      <c r="O6" s="2146"/>
      <c r="R6" s="2146"/>
      <c r="S6" s="2146"/>
      <c r="V6" s="2146"/>
      <c r="W6" s="2146"/>
      <c r="AO6" s="1226"/>
      <c r="AP6" s="1226"/>
      <c r="AQ6" s="1226"/>
    </row>
    <row r="7" spans="1:76" ht="18" customHeight="1" x14ac:dyDescent="0.2">
      <c r="A7" s="1227" t="s">
        <v>363</v>
      </c>
      <c r="B7" s="1226"/>
      <c r="C7" s="1226"/>
      <c r="D7" s="1226"/>
      <c r="AO7" s="1226"/>
      <c r="AP7" s="1226"/>
      <c r="AQ7" s="1226"/>
    </row>
    <row r="8" spans="1:76" ht="9.75" customHeight="1" x14ac:dyDescent="0.2">
      <c r="A8" s="964"/>
      <c r="B8" s="964"/>
      <c r="C8" s="964"/>
      <c r="D8" s="964"/>
      <c r="E8" s="915"/>
      <c r="F8" s="915"/>
      <c r="G8" s="915"/>
      <c r="H8" s="915"/>
      <c r="I8" s="915"/>
      <c r="J8" s="964"/>
      <c r="K8" s="964"/>
      <c r="L8" s="964"/>
      <c r="M8" s="964"/>
      <c r="N8" s="964"/>
      <c r="O8" s="964"/>
      <c r="P8" s="964"/>
      <c r="Q8" s="964"/>
      <c r="R8" s="964"/>
      <c r="S8" s="964"/>
      <c r="T8" s="964"/>
      <c r="U8" s="964"/>
      <c r="V8" s="964"/>
      <c r="W8" s="964"/>
      <c r="X8" s="964"/>
      <c r="Y8" s="964"/>
      <c r="Z8" s="999"/>
      <c r="AA8" s="964"/>
      <c r="AB8" s="964"/>
      <c r="AC8" s="964"/>
      <c r="AD8" s="999"/>
      <c r="AE8" s="964"/>
      <c r="AF8" s="999"/>
      <c r="AG8" s="964"/>
      <c r="AH8" s="999"/>
      <c r="AI8" s="964"/>
      <c r="AJ8" s="999"/>
      <c r="AK8" s="964"/>
      <c r="AL8" s="999"/>
      <c r="AM8" s="964"/>
      <c r="AN8" s="964"/>
      <c r="AO8" s="1226"/>
      <c r="AP8" s="1226"/>
      <c r="AQ8" s="1226"/>
      <c r="BA8" s="1260"/>
      <c r="BB8" s="1260"/>
      <c r="BN8" s="1226"/>
      <c r="BO8" s="1226"/>
      <c r="BP8" s="1226"/>
    </row>
    <row r="9" spans="1:76" x14ac:dyDescent="0.2">
      <c r="A9" s="968" t="s">
        <v>1</v>
      </c>
      <c r="B9" s="969"/>
      <c r="C9" s="2455" t="s">
        <v>456</v>
      </c>
      <c r="D9" s="2456"/>
      <c r="E9" s="919"/>
      <c r="F9" s="921"/>
      <c r="G9" s="921"/>
      <c r="H9" s="921"/>
      <c r="I9" s="2280"/>
      <c r="J9" s="1000"/>
      <c r="K9" s="1000"/>
      <c r="L9" s="1000"/>
      <c r="M9" s="1261"/>
      <c r="N9" s="1000"/>
      <c r="O9" s="1000"/>
      <c r="P9" s="1000"/>
      <c r="Q9" s="1261"/>
      <c r="R9" s="1000"/>
      <c r="S9" s="1000"/>
      <c r="T9" s="1000"/>
      <c r="U9" s="1261"/>
      <c r="V9" s="1000"/>
      <c r="W9" s="1000"/>
      <c r="X9" s="1000"/>
      <c r="Y9" s="1261"/>
      <c r="Z9" s="1262"/>
      <c r="AA9" s="1263"/>
      <c r="AB9" s="1000"/>
      <c r="AC9" s="1261"/>
      <c r="AD9" s="1262"/>
      <c r="AE9" s="1263"/>
      <c r="AF9" s="1000"/>
      <c r="AG9" s="1261"/>
      <c r="AI9" s="1263"/>
      <c r="AJ9" s="964"/>
      <c r="AK9" s="1261"/>
      <c r="AL9" s="1263"/>
      <c r="AN9" s="1000"/>
      <c r="AO9" s="1261"/>
      <c r="AP9" s="1263"/>
      <c r="AQ9" s="1263"/>
      <c r="AR9" s="1263"/>
      <c r="AS9" s="1263"/>
      <c r="AT9" s="1264"/>
      <c r="AU9" s="1261"/>
      <c r="AV9" s="1261"/>
      <c r="AW9" s="1261"/>
      <c r="AX9" s="1265"/>
      <c r="AY9" s="1006" t="s">
        <v>448</v>
      </c>
      <c r="AZ9" s="1006"/>
      <c r="BA9" s="1006" t="s">
        <v>441</v>
      </c>
      <c r="BB9" s="1007"/>
      <c r="BC9" s="1008"/>
      <c r="BD9" s="1009"/>
      <c r="BE9" s="1009"/>
      <c r="BF9" s="1009"/>
      <c r="BG9" s="1009"/>
      <c r="BH9" s="1009"/>
      <c r="BI9" s="1009"/>
      <c r="BJ9" s="1009"/>
      <c r="BK9" s="1009"/>
      <c r="BL9" s="1264"/>
      <c r="BM9" s="1264"/>
      <c r="BN9" s="1009"/>
      <c r="BO9" s="1009"/>
      <c r="BP9" s="1009"/>
      <c r="BQ9" s="1266"/>
    </row>
    <row r="10" spans="1:76" ht="13.5" x14ac:dyDescent="0.2">
      <c r="A10" s="968" t="s">
        <v>2</v>
      </c>
      <c r="B10" s="969"/>
      <c r="C10" s="2457" t="s">
        <v>39</v>
      </c>
      <c r="D10" s="2458"/>
      <c r="E10" s="924"/>
      <c r="F10" s="925" t="s">
        <v>452</v>
      </c>
      <c r="G10" s="925" t="s">
        <v>453</v>
      </c>
      <c r="H10" s="925" t="s">
        <v>454</v>
      </c>
      <c r="I10" s="2281" t="s">
        <v>455</v>
      </c>
      <c r="J10" s="1010" t="s">
        <v>399</v>
      </c>
      <c r="K10" s="1010" t="s">
        <v>398</v>
      </c>
      <c r="L10" s="1010" t="s">
        <v>397</v>
      </c>
      <c r="M10" s="1011" t="s">
        <v>395</v>
      </c>
      <c r="N10" s="1010" t="s">
        <v>373</v>
      </c>
      <c r="O10" s="1010" t="s">
        <v>374</v>
      </c>
      <c r="P10" s="1010" t="s">
        <v>375</v>
      </c>
      <c r="Q10" s="1011" t="s">
        <v>376</v>
      </c>
      <c r="R10" s="1010" t="s">
        <v>330</v>
      </c>
      <c r="S10" s="1010" t="s">
        <v>329</v>
      </c>
      <c r="T10" s="1010" t="s">
        <v>328</v>
      </c>
      <c r="U10" s="1011" t="s">
        <v>326</v>
      </c>
      <c r="V10" s="1010" t="s">
        <v>282</v>
      </c>
      <c r="W10" s="1010" t="s">
        <v>283</v>
      </c>
      <c r="X10" s="1010" t="s">
        <v>284</v>
      </c>
      <c r="Y10" s="1011" t="s">
        <v>285</v>
      </c>
      <c r="Z10" s="1012" t="s">
        <v>220</v>
      </c>
      <c r="AA10" s="1010" t="s">
        <v>221</v>
      </c>
      <c r="AB10" s="1010" t="s">
        <v>222</v>
      </c>
      <c r="AC10" s="1011" t="s">
        <v>219</v>
      </c>
      <c r="AD10" s="1012" t="s">
        <v>185</v>
      </c>
      <c r="AE10" s="1010" t="s">
        <v>186</v>
      </c>
      <c r="AF10" s="1010" t="s">
        <v>187</v>
      </c>
      <c r="AG10" s="1011" t="s">
        <v>188</v>
      </c>
      <c r="AH10" s="1010" t="s">
        <v>118</v>
      </c>
      <c r="AI10" s="1010" t="s">
        <v>117</v>
      </c>
      <c r="AJ10" s="1010" t="s">
        <v>116</v>
      </c>
      <c r="AK10" s="1011" t="s">
        <v>115</v>
      </c>
      <c r="AL10" s="1010" t="s">
        <v>83</v>
      </c>
      <c r="AM10" s="1010" t="s">
        <v>84</v>
      </c>
      <c r="AN10" s="1010" t="s">
        <v>85</v>
      </c>
      <c r="AO10" s="1011" t="s">
        <v>30</v>
      </c>
      <c r="AP10" s="1010" t="s">
        <v>31</v>
      </c>
      <c r="AQ10" s="1010" t="s">
        <v>32</v>
      </c>
      <c r="AR10" s="1010" t="s">
        <v>33</v>
      </c>
      <c r="AS10" s="1010" t="s">
        <v>34</v>
      </c>
      <c r="AT10" s="1013" t="s">
        <v>35</v>
      </c>
      <c r="AU10" s="1011" t="s">
        <v>36</v>
      </c>
      <c r="AV10" s="1011" t="s">
        <v>37</v>
      </c>
      <c r="AW10" s="1011" t="s">
        <v>38</v>
      </c>
      <c r="AX10" s="1014"/>
      <c r="AY10" s="1010" t="s">
        <v>399</v>
      </c>
      <c r="AZ10" s="1010" t="s">
        <v>373</v>
      </c>
      <c r="BA10" s="2485" t="s">
        <v>39</v>
      </c>
      <c r="BB10" s="2458"/>
      <c r="BC10" s="1015"/>
      <c r="BD10" s="1012" t="s">
        <v>438</v>
      </c>
      <c r="BE10" s="1012" t="s">
        <v>385</v>
      </c>
      <c r="BF10" s="1012" t="s">
        <v>332</v>
      </c>
      <c r="BG10" s="1012" t="s">
        <v>287</v>
      </c>
      <c r="BH10" s="1012" t="s">
        <v>224</v>
      </c>
      <c r="BI10" s="1012" t="s">
        <v>120</v>
      </c>
      <c r="BJ10" s="1012" t="s">
        <v>119</v>
      </c>
      <c r="BK10" s="1012" t="s">
        <v>43</v>
      </c>
      <c r="BL10" s="1013" t="s">
        <v>40</v>
      </c>
      <c r="BM10" s="1013" t="s">
        <v>41</v>
      </c>
      <c r="BN10" s="1013" t="s">
        <v>138</v>
      </c>
      <c r="BO10" s="1013" t="s">
        <v>139</v>
      </c>
      <c r="BP10" s="1013" t="s">
        <v>140</v>
      </c>
      <c r="BQ10" s="1266"/>
      <c r="BR10" s="1226"/>
      <c r="BS10" s="1181"/>
      <c r="BV10" s="1181"/>
      <c r="BW10" s="1181"/>
      <c r="BX10" s="1181"/>
    </row>
    <row r="11" spans="1:76" x14ac:dyDescent="0.2">
      <c r="A11" s="968"/>
      <c r="B11" s="969"/>
      <c r="C11" s="2277"/>
      <c r="D11" s="1229"/>
      <c r="E11" s="924"/>
      <c r="F11" s="1186"/>
      <c r="G11" s="1186"/>
      <c r="H11" s="1186"/>
      <c r="I11" s="2282"/>
      <c r="J11" s="1268"/>
      <c r="K11" s="1268"/>
      <c r="L11" s="1268"/>
      <c r="M11" s="1269"/>
      <c r="N11" s="1268"/>
      <c r="O11" s="1268"/>
      <c r="P11" s="1268"/>
      <c r="Q11" s="1269"/>
      <c r="R11" s="1268"/>
      <c r="S11" s="1268"/>
      <c r="T11" s="1268"/>
      <c r="U11" s="1269"/>
      <c r="V11" s="1268"/>
      <c r="W11" s="1268"/>
      <c r="X11" s="1268"/>
      <c r="Y11" s="1269"/>
      <c r="Z11" s="1270"/>
      <c r="AA11" s="1268"/>
      <c r="AB11" s="1268"/>
      <c r="AC11" s="1269"/>
      <c r="AD11" s="1270"/>
      <c r="AE11" s="1268"/>
      <c r="AF11" s="1268"/>
      <c r="AG11" s="1269"/>
      <c r="AH11" s="1270"/>
      <c r="AI11" s="1268"/>
      <c r="AJ11" s="1269"/>
      <c r="AK11" s="1269"/>
      <c r="AL11" s="1008"/>
      <c r="AM11" s="1008"/>
      <c r="AN11" s="1008"/>
      <c r="AO11" s="1271"/>
      <c r="AP11" s="1008"/>
      <c r="AQ11" s="1008"/>
      <c r="AR11" s="1008"/>
      <c r="AS11" s="1008"/>
      <c r="AT11" s="1014"/>
      <c r="AU11" s="1271"/>
      <c r="AV11" s="1271"/>
      <c r="AW11" s="1271"/>
      <c r="AX11" s="1014"/>
      <c r="AY11" s="1268"/>
      <c r="AZ11" s="1268"/>
      <c r="BA11" s="1263"/>
      <c r="BB11" s="1261"/>
      <c r="BC11" s="1015"/>
      <c r="BD11" s="1270"/>
      <c r="BE11" s="1270"/>
      <c r="BF11" s="1270"/>
      <c r="BG11" s="1270"/>
      <c r="BH11" s="1270"/>
      <c r="BI11" s="1272"/>
      <c r="BJ11" s="1443" t="s">
        <v>241</v>
      </c>
      <c r="BK11" s="1443" t="s">
        <v>241</v>
      </c>
      <c r="BL11" s="1444" t="s">
        <v>241</v>
      </c>
      <c r="BM11" s="1444" t="s">
        <v>241</v>
      </c>
      <c r="BN11" s="1014"/>
      <c r="BO11" s="1014"/>
      <c r="BP11" s="1014"/>
      <c r="BQ11" s="1266"/>
      <c r="BR11" s="1226"/>
      <c r="BS11" s="1181"/>
      <c r="BV11" s="1181"/>
      <c r="BW11" s="1181"/>
      <c r="BX11" s="1181"/>
    </row>
    <row r="12" spans="1:76" ht="12.75" customHeight="1" x14ac:dyDescent="0.2">
      <c r="A12" s="970" t="s">
        <v>61</v>
      </c>
      <c r="B12" s="971"/>
      <c r="C12" s="1230"/>
      <c r="D12" s="1228"/>
      <c r="E12" s="1187"/>
      <c r="F12" s="1188"/>
      <c r="G12" s="1188"/>
      <c r="H12" s="1188"/>
      <c r="I12" s="1183"/>
      <c r="J12" s="1251"/>
      <c r="K12" s="1251"/>
      <c r="L12" s="1251"/>
      <c r="M12" s="1228"/>
      <c r="N12" s="1251"/>
      <c r="O12" s="1251"/>
      <c r="P12" s="1251"/>
      <c r="Q12" s="1228"/>
      <c r="R12" s="1251"/>
      <c r="S12" s="1251"/>
      <c r="T12" s="1251"/>
      <c r="U12" s="1228"/>
      <c r="V12" s="1251"/>
      <c r="W12" s="1251"/>
      <c r="X12" s="1251"/>
      <c r="Y12" s="1228"/>
      <c r="Z12" s="1251"/>
      <c r="AA12" s="1251"/>
      <c r="AB12" s="1251"/>
      <c r="AC12" s="1228"/>
      <c r="AD12" s="1251"/>
      <c r="AE12" s="1251"/>
      <c r="AF12" s="969"/>
      <c r="AG12" s="1228"/>
      <c r="AH12" s="1251"/>
      <c r="AI12" s="1251"/>
      <c r="AJ12" s="1084"/>
      <c r="AK12" s="1228"/>
      <c r="AL12" s="1251"/>
      <c r="AM12" s="1251"/>
      <c r="AN12" s="1251"/>
      <c r="AO12" s="1228"/>
      <c r="AP12" s="1251"/>
      <c r="AQ12" s="1251"/>
      <c r="AR12" s="1251"/>
      <c r="AT12" s="1265"/>
      <c r="AU12" s="2060"/>
      <c r="AV12" s="2060"/>
      <c r="AW12" s="1226"/>
      <c r="AX12" s="1274"/>
      <c r="AY12" s="1251"/>
      <c r="AZ12" s="1251"/>
      <c r="BA12" s="1251"/>
      <c r="BB12" s="1228"/>
      <c r="BC12" s="1235"/>
      <c r="BD12" s="1274"/>
      <c r="BE12" s="1274"/>
      <c r="BF12" s="1274"/>
      <c r="BG12" s="1274"/>
      <c r="BH12" s="1274"/>
      <c r="BI12" s="1274"/>
      <c r="BJ12" s="1274"/>
      <c r="BK12" s="1274"/>
      <c r="BL12" s="1274"/>
      <c r="BM12" s="1527"/>
      <c r="BN12" s="2037"/>
      <c r="BO12" s="2037"/>
      <c r="BP12" s="2037"/>
      <c r="BQ12" s="1266"/>
      <c r="BR12" s="1226"/>
      <c r="BS12" s="1181"/>
      <c r="BV12" s="1181"/>
    </row>
    <row r="13" spans="1:76" ht="12.75" customHeight="1" x14ac:dyDescent="0.2">
      <c r="A13" s="969"/>
      <c r="B13" s="1450" t="s">
        <v>86</v>
      </c>
      <c r="C13" s="979">
        <v>-1274</v>
      </c>
      <c r="D13" s="1056">
        <v>-0.30802707930367507</v>
      </c>
      <c r="E13" s="937"/>
      <c r="F13" s="1197"/>
      <c r="G13" s="1198"/>
      <c r="H13" s="1197"/>
      <c r="I13" s="2283">
        <v>2862</v>
      </c>
      <c r="J13" s="1298">
        <v>1899</v>
      </c>
      <c r="K13" s="1300">
        <v>-964</v>
      </c>
      <c r="L13" s="1298">
        <v>3897</v>
      </c>
      <c r="M13" s="1276">
        <v>4136</v>
      </c>
      <c r="N13" s="1298">
        <v>4335</v>
      </c>
      <c r="O13" s="1298">
        <v>4373</v>
      </c>
      <c r="P13" s="1298">
        <v>4233</v>
      </c>
      <c r="Q13" s="1276">
        <v>3827</v>
      </c>
      <c r="R13" s="1298">
        <v>1853</v>
      </c>
      <c r="S13" s="1298">
        <v>4988</v>
      </c>
      <c r="T13" s="1298">
        <v>6372</v>
      </c>
      <c r="U13" s="1276">
        <v>2205</v>
      </c>
      <c r="V13" s="1298">
        <v>5045</v>
      </c>
      <c r="W13" s="1298">
        <v>4535</v>
      </c>
      <c r="X13" s="1298">
        <v>10003</v>
      </c>
      <c r="Y13" s="1276">
        <v>4894</v>
      </c>
      <c r="Z13" s="1275">
        <v>10101</v>
      </c>
      <c r="AA13" s="1298">
        <v>9737</v>
      </c>
      <c r="AB13" s="1298">
        <v>2636</v>
      </c>
      <c r="AC13" s="1276">
        <v>7623</v>
      </c>
      <c r="AD13" s="1275">
        <v>11120</v>
      </c>
      <c r="AE13" s="1298">
        <v>8477</v>
      </c>
      <c r="AF13" s="1275">
        <v>7783</v>
      </c>
      <c r="AG13" s="1276">
        <v>4558</v>
      </c>
      <c r="AH13" s="1275">
        <v>4647</v>
      </c>
      <c r="AI13" s="1298">
        <v>5374</v>
      </c>
      <c r="AJ13" s="1306">
        <v>5131</v>
      </c>
      <c r="AK13" s="1276">
        <v>11781</v>
      </c>
      <c r="AL13" s="1275">
        <v>4769</v>
      </c>
      <c r="AM13" s="1298">
        <v>4406</v>
      </c>
      <c r="AN13" s="1298">
        <v>8649</v>
      </c>
      <c r="AO13" s="1276">
        <v>10062</v>
      </c>
      <c r="AP13" s="1281">
        <v>11018</v>
      </c>
      <c r="AQ13" s="1304">
        <v>12605</v>
      </c>
      <c r="AR13" s="1304">
        <v>12383</v>
      </c>
      <c r="AS13" s="1278">
        <v>14764</v>
      </c>
      <c r="AT13" s="1279">
        <v>10416</v>
      </c>
      <c r="AU13" s="1278">
        <v>8017</v>
      </c>
      <c r="AV13" s="1278">
        <v>6975</v>
      </c>
      <c r="AW13" s="1281">
        <v>8665</v>
      </c>
      <c r="AX13" s="1274"/>
      <c r="AY13" s="1280">
        <v>8968</v>
      </c>
      <c r="AZ13" s="1280">
        <v>16768</v>
      </c>
      <c r="BA13" s="1025">
        <v>-7800</v>
      </c>
      <c r="BB13" s="1056">
        <v>-0.46517175572519082</v>
      </c>
      <c r="BC13" s="1235"/>
      <c r="BD13" s="1447">
        <v>8968</v>
      </c>
      <c r="BE13" s="1447">
        <v>16768</v>
      </c>
      <c r="BF13" s="1447">
        <v>15418</v>
      </c>
      <c r="BG13" s="1447">
        <v>24477</v>
      </c>
      <c r="BH13" s="1447">
        <v>30097</v>
      </c>
      <c r="BI13" s="1447">
        <v>31938</v>
      </c>
      <c r="BJ13" s="1447">
        <v>26933</v>
      </c>
      <c r="BK13" s="1447">
        <v>27886</v>
      </c>
      <c r="BL13" s="1447">
        <v>50770</v>
      </c>
      <c r="BM13" s="1447">
        <v>34578</v>
      </c>
      <c r="BN13" s="1309" t="e">
        <f>24480+#REF!</f>
        <v>#REF!</v>
      </c>
      <c r="BO13" s="1309">
        <v>14948</v>
      </c>
      <c r="BP13" s="1309">
        <v>14416</v>
      </c>
      <c r="BQ13" s="1226"/>
      <c r="BR13" s="1226"/>
      <c r="BS13" s="1181"/>
      <c r="BV13" s="1181"/>
    </row>
    <row r="14" spans="1:76" ht="12.75" customHeight="1" x14ac:dyDescent="0.2">
      <c r="A14" s="971"/>
      <c r="B14" s="969"/>
      <c r="C14" s="1231">
        <v>-1274</v>
      </c>
      <c r="D14" s="1232">
        <v>-0.30802707930367507</v>
      </c>
      <c r="E14" s="937"/>
      <c r="F14" s="1224">
        <v>0</v>
      </c>
      <c r="G14" s="1224">
        <v>0</v>
      </c>
      <c r="H14" s="2317">
        <v>0</v>
      </c>
      <c r="I14" s="2286">
        <v>2862</v>
      </c>
      <c r="J14" s="1378">
        <v>1899</v>
      </c>
      <c r="K14" s="1378">
        <v>-964</v>
      </c>
      <c r="L14" s="1533">
        <v>3897</v>
      </c>
      <c r="M14" s="1286">
        <v>4136</v>
      </c>
      <c r="N14" s="1533">
        <v>4335</v>
      </c>
      <c r="O14" s="1533">
        <v>4373</v>
      </c>
      <c r="P14" s="1533">
        <v>4233</v>
      </c>
      <c r="Q14" s="1286">
        <v>3827</v>
      </c>
      <c r="R14" s="1533">
        <v>1853</v>
      </c>
      <c r="S14" s="1533">
        <v>4988</v>
      </c>
      <c r="T14" s="1533">
        <v>6372</v>
      </c>
      <c r="U14" s="1286">
        <v>2205</v>
      </c>
      <c r="V14" s="1533">
        <v>5045</v>
      </c>
      <c r="W14" s="1533">
        <v>4535</v>
      </c>
      <c r="X14" s="1533">
        <v>10003</v>
      </c>
      <c r="Y14" s="1286">
        <v>4894</v>
      </c>
      <c r="Z14" s="1315">
        <v>10101</v>
      </c>
      <c r="AA14" s="1533">
        <v>9737</v>
      </c>
      <c r="AB14" s="1533">
        <v>2636</v>
      </c>
      <c r="AC14" s="1286">
        <v>7623</v>
      </c>
      <c r="AD14" s="1315">
        <v>11120</v>
      </c>
      <c r="AE14" s="1533">
        <v>8477</v>
      </c>
      <c r="AF14" s="1315">
        <v>7783</v>
      </c>
      <c r="AG14" s="1286">
        <v>4558</v>
      </c>
      <c r="AH14" s="1315">
        <v>4647</v>
      </c>
      <c r="AI14" s="1533">
        <v>5374</v>
      </c>
      <c r="AJ14" s="1286">
        <v>5131</v>
      </c>
      <c r="AK14" s="1286">
        <v>11781</v>
      </c>
      <c r="AL14" s="1315">
        <v>4769</v>
      </c>
      <c r="AM14" s="1533">
        <v>4406</v>
      </c>
      <c r="AN14" s="1533">
        <v>8649</v>
      </c>
      <c r="AO14" s="1315">
        <v>10062</v>
      </c>
      <c r="AP14" s="1455">
        <v>11018</v>
      </c>
      <c r="AQ14" s="1533">
        <v>12605</v>
      </c>
      <c r="AR14" s="1533">
        <v>12383</v>
      </c>
      <c r="AS14" s="1315">
        <v>14764</v>
      </c>
      <c r="AT14" s="1455">
        <v>10416</v>
      </c>
      <c r="AU14" s="1286">
        <v>8055</v>
      </c>
      <c r="AV14" s="1286">
        <v>7372</v>
      </c>
      <c r="AW14" s="1315">
        <v>8735</v>
      </c>
      <c r="AX14" s="1282"/>
      <c r="AY14" s="1315">
        <v>8968</v>
      </c>
      <c r="AZ14" s="1315">
        <v>16768</v>
      </c>
      <c r="BA14" s="1456">
        <v>-7800</v>
      </c>
      <c r="BB14" s="1232">
        <v>-0.46517175572519082</v>
      </c>
      <c r="BC14" s="1235"/>
      <c r="BD14" s="1455">
        <v>8968</v>
      </c>
      <c r="BE14" s="1455">
        <v>16768</v>
      </c>
      <c r="BF14" s="1455">
        <v>15418</v>
      </c>
      <c r="BG14" s="1455">
        <v>24477</v>
      </c>
      <c r="BH14" s="1455">
        <v>30097</v>
      </c>
      <c r="BI14" s="1455">
        <v>31938</v>
      </c>
      <c r="BJ14" s="1455">
        <v>26933</v>
      </c>
      <c r="BK14" s="1455">
        <v>27886</v>
      </c>
      <c r="BL14" s="1291">
        <v>50770</v>
      </c>
      <c r="BM14" s="1291">
        <v>34578</v>
      </c>
      <c r="BN14" s="1291" t="e">
        <f>BN13</f>
        <v>#REF!</v>
      </c>
      <c r="BO14" s="1291">
        <f>BO13</f>
        <v>14948</v>
      </c>
      <c r="BP14" s="1318">
        <v>4749</v>
      </c>
      <c r="BQ14" s="1266"/>
      <c r="BR14" s="1226"/>
      <c r="BS14" s="1181"/>
      <c r="BV14" s="1181"/>
    </row>
    <row r="15" spans="1:76" ht="12.75" customHeight="1" x14ac:dyDescent="0.2">
      <c r="A15" s="970" t="s">
        <v>5</v>
      </c>
      <c r="B15" s="969"/>
      <c r="C15" s="979"/>
      <c r="D15" s="1056"/>
      <c r="E15" s="937"/>
      <c r="F15" s="1190"/>
      <c r="G15" s="1190"/>
      <c r="H15" s="1190"/>
      <c r="I15" s="2283"/>
      <c r="J15" s="1275"/>
      <c r="K15" s="1275"/>
      <c r="L15" s="1275"/>
      <c r="M15" s="1276"/>
      <c r="N15" s="1275"/>
      <c r="O15" s="1275"/>
      <c r="P15" s="1275"/>
      <c r="Q15" s="1276"/>
      <c r="R15" s="1275"/>
      <c r="S15" s="1275"/>
      <c r="T15" s="1275"/>
      <c r="U15" s="1276"/>
      <c r="V15" s="1275"/>
      <c r="W15" s="1275"/>
      <c r="X15" s="1275"/>
      <c r="Y15" s="1276"/>
      <c r="Z15" s="1275"/>
      <c r="AA15" s="1275"/>
      <c r="AB15" s="1275"/>
      <c r="AC15" s="1276"/>
      <c r="AD15" s="1275"/>
      <c r="AE15" s="1275"/>
      <c r="AF15" s="1275"/>
      <c r="AG15" s="1276"/>
      <c r="AH15" s="1275"/>
      <c r="AI15" s="1275"/>
      <c r="AJ15" s="1306"/>
      <c r="AK15" s="1276"/>
      <c r="AL15" s="1275"/>
      <c r="AM15" s="1275"/>
      <c r="AN15" s="1275"/>
      <c r="AO15" s="1276"/>
      <c r="AP15" s="1323"/>
      <c r="AQ15" s="1323"/>
      <c r="AR15" s="1323"/>
      <c r="AS15" s="1323"/>
      <c r="AT15" s="1282"/>
      <c r="AU15" s="1276"/>
      <c r="AV15" s="1276"/>
      <c r="AW15" s="1323"/>
      <c r="AX15" s="1274"/>
      <c r="AY15" s="1251"/>
      <c r="AZ15" s="1251"/>
      <c r="BA15" s="1025"/>
      <c r="BB15" s="1056"/>
      <c r="BC15" s="1235"/>
      <c r="BD15" s="2147"/>
      <c r="BE15" s="2147"/>
      <c r="BF15" s="2147"/>
      <c r="BG15" s="2147"/>
      <c r="BH15" s="2147"/>
      <c r="BI15" s="2147"/>
      <c r="BJ15" s="2147"/>
      <c r="BK15" s="2147"/>
      <c r="BL15" s="1447"/>
      <c r="BM15" s="1447"/>
      <c r="BN15" s="1309"/>
      <c r="BO15" s="1309"/>
      <c r="BP15" s="1309"/>
      <c r="BQ15" s="1226"/>
      <c r="BR15" s="1226"/>
      <c r="BS15" s="1181"/>
      <c r="BV15" s="1181"/>
    </row>
    <row r="16" spans="1:76" ht="12.75" customHeight="1" x14ac:dyDescent="0.2">
      <c r="A16" s="970"/>
      <c r="B16" s="969" t="s">
        <v>304</v>
      </c>
      <c r="C16" s="979">
        <v>-53</v>
      </c>
      <c r="D16" s="1056">
        <v>-3.8267148014440436E-2</v>
      </c>
      <c r="E16" s="937"/>
      <c r="F16" s="1190"/>
      <c r="G16" s="1190"/>
      <c r="H16" s="1195"/>
      <c r="I16" s="2287">
        <v>1332</v>
      </c>
      <c r="J16" s="1275">
        <v>2142</v>
      </c>
      <c r="K16" s="1275">
        <v>126</v>
      </c>
      <c r="L16" s="1248">
        <v>1764</v>
      </c>
      <c r="M16" s="1293">
        <v>1385</v>
      </c>
      <c r="N16" s="1275">
        <v>3930</v>
      </c>
      <c r="O16" s="1275">
        <v>31</v>
      </c>
      <c r="P16" s="1248">
        <v>3085</v>
      </c>
      <c r="Q16" s="1293">
        <v>1255</v>
      </c>
      <c r="R16" s="1275">
        <v>4212</v>
      </c>
      <c r="S16" s="1275">
        <v>3195</v>
      </c>
      <c r="T16" s="1248">
        <v>866</v>
      </c>
      <c r="U16" s="1293">
        <v>776</v>
      </c>
      <c r="V16" s="1248">
        <v>2137</v>
      </c>
      <c r="W16" s="1248">
        <v>2260</v>
      </c>
      <c r="X16" s="1248">
        <v>97</v>
      </c>
      <c r="Y16" s="1293">
        <v>219</v>
      </c>
      <c r="Z16" s="1248">
        <v>2591</v>
      </c>
      <c r="AA16" s="1248">
        <v>1870</v>
      </c>
      <c r="AB16" s="1248">
        <v>10</v>
      </c>
      <c r="AC16" s="1293">
        <v>2877</v>
      </c>
      <c r="AD16" s="1248">
        <v>8396</v>
      </c>
      <c r="AE16" s="1248">
        <v>9070</v>
      </c>
      <c r="AF16" s="1248">
        <v>2498</v>
      </c>
      <c r="AG16" s="1293"/>
      <c r="AH16" s="1248"/>
      <c r="AI16" s="1248"/>
      <c r="AJ16" s="1489"/>
      <c r="AK16" s="1293"/>
      <c r="AL16" s="1248"/>
      <c r="AM16" s="1248"/>
      <c r="AN16" s="1248"/>
      <c r="AO16" s="1293"/>
      <c r="AP16" s="1322"/>
      <c r="AQ16" s="1322"/>
      <c r="AR16" s="1322"/>
      <c r="AS16" s="1322"/>
      <c r="AT16" s="1314"/>
      <c r="AU16" s="1293"/>
      <c r="AV16" s="1293"/>
      <c r="AW16" s="1322"/>
      <c r="AX16" s="1297"/>
      <c r="AY16" s="1322">
        <v>5417</v>
      </c>
      <c r="AZ16" s="1294">
        <v>8301</v>
      </c>
      <c r="BA16" s="1322">
        <v>-2884</v>
      </c>
      <c r="BB16" s="1056">
        <v>-0.34742802072039514</v>
      </c>
      <c r="BC16" s="1235"/>
      <c r="BD16" s="1447">
        <v>5417</v>
      </c>
      <c r="BE16" s="1447">
        <v>8301</v>
      </c>
      <c r="BF16" s="1447">
        <v>9049</v>
      </c>
      <c r="BG16" s="1447">
        <v>4713</v>
      </c>
      <c r="BH16" s="1279">
        <v>7348</v>
      </c>
      <c r="BI16" s="1279">
        <v>23083</v>
      </c>
      <c r="BJ16" s="1279">
        <v>12870</v>
      </c>
      <c r="BK16" s="1279">
        <v>5114</v>
      </c>
      <c r="BL16" s="1447">
        <v>12561</v>
      </c>
      <c r="BM16" s="1447"/>
      <c r="BN16" s="1309"/>
      <c r="BO16" s="1309"/>
      <c r="BP16" s="1309"/>
      <c r="BQ16" s="1226"/>
      <c r="BR16" s="1226"/>
      <c r="BS16" s="1181"/>
      <c r="BV16" s="1181"/>
    </row>
    <row r="17" spans="1:74" ht="12.75" customHeight="1" x14ac:dyDescent="0.2">
      <c r="A17" s="970"/>
      <c r="B17" s="969" t="s">
        <v>305</v>
      </c>
      <c r="C17" s="1233">
        <v>-43</v>
      </c>
      <c r="D17" s="1234">
        <v>-0.13271604938271606</v>
      </c>
      <c r="E17" s="937"/>
      <c r="F17" s="1197"/>
      <c r="G17" s="1197"/>
      <c r="H17" s="1198"/>
      <c r="I17" s="2289">
        <v>281</v>
      </c>
      <c r="J17" s="1298">
        <v>1776</v>
      </c>
      <c r="K17" s="1298">
        <v>1221</v>
      </c>
      <c r="L17" s="1300">
        <v>-203</v>
      </c>
      <c r="M17" s="1301">
        <v>324</v>
      </c>
      <c r="N17" s="1298">
        <v>506</v>
      </c>
      <c r="O17" s="1298">
        <v>751</v>
      </c>
      <c r="P17" s="1300">
        <v>1247</v>
      </c>
      <c r="Q17" s="1301">
        <v>939</v>
      </c>
      <c r="R17" s="1298">
        <v>334</v>
      </c>
      <c r="S17" s="1298">
        <v>140</v>
      </c>
      <c r="T17" s="1300">
        <v>269</v>
      </c>
      <c r="U17" s="1301">
        <v>141</v>
      </c>
      <c r="V17" s="1300">
        <v>313</v>
      </c>
      <c r="W17" s="1300">
        <v>433</v>
      </c>
      <c r="X17" s="1300">
        <v>-51</v>
      </c>
      <c r="Y17" s="1301">
        <v>-377</v>
      </c>
      <c r="Z17" s="1300">
        <v>91</v>
      </c>
      <c r="AA17" s="1300">
        <v>168</v>
      </c>
      <c r="AB17" s="1300">
        <v>1176</v>
      </c>
      <c r="AC17" s="1301">
        <v>356</v>
      </c>
      <c r="AD17" s="1300">
        <v>-386</v>
      </c>
      <c r="AE17" s="1300">
        <v>-1374</v>
      </c>
      <c r="AF17" s="1300">
        <v>224</v>
      </c>
      <c r="AG17" s="1293"/>
      <c r="AH17" s="1248"/>
      <c r="AI17" s="1248"/>
      <c r="AJ17" s="1489"/>
      <c r="AK17" s="1293"/>
      <c r="AL17" s="1248"/>
      <c r="AM17" s="1248"/>
      <c r="AN17" s="1248"/>
      <c r="AO17" s="1293"/>
      <c r="AP17" s="1322"/>
      <c r="AQ17" s="1322"/>
      <c r="AR17" s="1322"/>
      <c r="AS17" s="1322"/>
      <c r="AT17" s="1314"/>
      <c r="AU17" s="1293"/>
      <c r="AV17" s="1293"/>
      <c r="AW17" s="1322"/>
      <c r="AX17" s="1297"/>
      <c r="AY17" s="1300">
        <v>3118</v>
      </c>
      <c r="AZ17" s="1300">
        <v>3443</v>
      </c>
      <c r="BA17" s="1378">
        <v>-325</v>
      </c>
      <c r="BB17" s="1234">
        <v>-9.43944234679059E-2</v>
      </c>
      <c r="BC17" s="1235"/>
      <c r="BD17" s="1451">
        <v>3118</v>
      </c>
      <c r="BE17" s="1342">
        <v>3443</v>
      </c>
      <c r="BF17" s="1342">
        <v>884</v>
      </c>
      <c r="BG17" s="1342">
        <v>318</v>
      </c>
      <c r="BH17" s="1342">
        <v>1791</v>
      </c>
      <c r="BI17" s="1342">
        <v>-1621</v>
      </c>
      <c r="BJ17" s="1342">
        <v>2420</v>
      </c>
      <c r="BK17" s="1342">
        <v>915</v>
      </c>
      <c r="BL17" s="1451">
        <v>2142</v>
      </c>
      <c r="BM17" s="1447"/>
      <c r="BN17" s="1309"/>
      <c r="BO17" s="1309"/>
      <c r="BP17" s="1309"/>
      <c r="BQ17" s="1226"/>
      <c r="BR17" s="1226"/>
      <c r="BS17" s="1181"/>
      <c r="BV17" s="1181"/>
    </row>
    <row r="18" spans="1:74" ht="12.75" customHeight="1" x14ac:dyDescent="0.2">
      <c r="A18" s="971"/>
      <c r="B18" s="1235" t="s">
        <v>208</v>
      </c>
      <c r="C18" s="979">
        <v>-96</v>
      </c>
      <c r="D18" s="1056">
        <v>-5.6173200702165006E-2</v>
      </c>
      <c r="E18" s="937"/>
      <c r="F18" s="1195">
        <v>0</v>
      </c>
      <c r="G18" s="1195">
        <v>0</v>
      </c>
      <c r="H18" s="1195">
        <v>0</v>
      </c>
      <c r="I18" s="2287">
        <v>1613</v>
      </c>
      <c r="J18" s="1248">
        <v>3918</v>
      </c>
      <c r="K18" s="1248">
        <v>1347</v>
      </c>
      <c r="L18" s="1248">
        <v>1561</v>
      </c>
      <c r="M18" s="1293">
        <v>1709</v>
      </c>
      <c r="N18" s="1275">
        <v>4436</v>
      </c>
      <c r="O18" s="1275">
        <v>782</v>
      </c>
      <c r="P18" s="1248">
        <v>4332</v>
      </c>
      <c r="Q18" s="1293">
        <v>2194</v>
      </c>
      <c r="R18" s="1275">
        <v>4546</v>
      </c>
      <c r="S18" s="1275">
        <v>3335</v>
      </c>
      <c r="T18" s="1248">
        <v>1135</v>
      </c>
      <c r="U18" s="1293">
        <v>917</v>
      </c>
      <c r="V18" s="1248">
        <v>2450</v>
      </c>
      <c r="W18" s="1248">
        <v>2693</v>
      </c>
      <c r="X18" s="1248">
        <v>46</v>
      </c>
      <c r="Y18" s="1293">
        <v>-158</v>
      </c>
      <c r="Z18" s="1248">
        <v>2682</v>
      </c>
      <c r="AA18" s="1248">
        <v>2038</v>
      </c>
      <c r="AB18" s="1248">
        <v>1186</v>
      </c>
      <c r="AC18" s="1293">
        <v>3233</v>
      </c>
      <c r="AD18" s="1248">
        <v>8010</v>
      </c>
      <c r="AE18" s="1248">
        <v>7696</v>
      </c>
      <c r="AF18" s="1248">
        <v>2722</v>
      </c>
      <c r="AG18" s="1293">
        <v>3034</v>
      </c>
      <c r="AH18" s="1248">
        <v>2935</v>
      </c>
      <c r="AI18" s="1248">
        <v>5929</v>
      </c>
      <c r="AJ18" s="1489">
        <v>1837</v>
      </c>
      <c r="AK18" s="1293">
        <v>4589</v>
      </c>
      <c r="AL18" s="1248">
        <v>1671</v>
      </c>
      <c r="AM18" s="1248">
        <v>247</v>
      </c>
      <c r="AN18" s="1248">
        <v>863</v>
      </c>
      <c r="AO18" s="1293">
        <v>3248</v>
      </c>
      <c r="AP18" s="1322">
        <v>-1082</v>
      </c>
      <c r="AQ18" s="1322">
        <v>4402</v>
      </c>
      <c r="AR18" s="1322">
        <v>3860</v>
      </c>
      <c r="AS18" s="1322">
        <v>7523</v>
      </c>
      <c r="AT18" s="1314">
        <v>6152</v>
      </c>
      <c r="AU18" s="1293">
        <v>6072</v>
      </c>
      <c r="AV18" s="1293">
        <v>4784</v>
      </c>
      <c r="AW18" s="1322">
        <v>5639</v>
      </c>
      <c r="AX18" s="1297"/>
      <c r="AY18" s="1248">
        <v>8535</v>
      </c>
      <c r="AZ18" s="1248">
        <v>11744</v>
      </c>
      <c r="BA18" s="1322">
        <v>-3209</v>
      </c>
      <c r="BB18" s="1056">
        <v>-0.27324591280653954</v>
      </c>
      <c r="BC18" s="1235"/>
      <c r="BD18" s="1279">
        <v>8535</v>
      </c>
      <c r="BE18" s="1279">
        <v>11744</v>
      </c>
      <c r="BF18" s="1279">
        <v>9933</v>
      </c>
      <c r="BG18" s="1279">
        <v>5031</v>
      </c>
      <c r="BH18" s="1279">
        <v>9139</v>
      </c>
      <c r="BI18" s="1279">
        <v>21462</v>
      </c>
      <c r="BJ18" s="1279">
        <v>15290</v>
      </c>
      <c r="BK18" s="1279">
        <v>6029</v>
      </c>
      <c r="BL18" s="1447">
        <v>14703</v>
      </c>
      <c r="BM18" s="1447">
        <v>22647</v>
      </c>
      <c r="BN18" s="1309">
        <v>18301</v>
      </c>
      <c r="BO18" s="1309">
        <v>11028</v>
      </c>
      <c r="BP18" s="1309">
        <v>15746</v>
      </c>
      <c r="BQ18" s="1226"/>
      <c r="BR18" s="1226"/>
      <c r="BS18" s="1181"/>
      <c r="BV18" s="1181"/>
    </row>
    <row r="19" spans="1:74" ht="12.75" customHeight="1" x14ac:dyDescent="0.2">
      <c r="A19" s="971"/>
      <c r="B19" s="1235" t="s">
        <v>66</v>
      </c>
      <c r="C19" s="979">
        <v>-884</v>
      </c>
      <c r="D19" s="1056">
        <v>-0.11437443395005822</v>
      </c>
      <c r="E19" s="937"/>
      <c r="F19" s="1190"/>
      <c r="G19" s="1190"/>
      <c r="H19" s="1195"/>
      <c r="I19" s="2287">
        <v>6845</v>
      </c>
      <c r="J19" s="1275">
        <v>7435</v>
      </c>
      <c r="K19" s="1275">
        <v>7281</v>
      </c>
      <c r="L19" s="1248">
        <v>6905</v>
      </c>
      <c r="M19" s="1293">
        <v>7729</v>
      </c>
      <c r="N19" s="1275">
        <v>7845</v>
      </c>
      <c r="O19" s="1275">
        <v>6983</v>
      </c>
      <c r="P19" s="1248">
        <v>6789</v>
      </c>
      <c r="Q19" s="1293">
        <v>7739</v>
      </c>
      <c r="R19" s="1275">
        <v>7436</v>
      </c>
      <c r="S19" s="1275">
        <v>6892</v>
      </c>
      <c r="T19" s="1248">
        <v>6709</v>
      </c>
      <c r="U19" s="1293">
        <v>7393</v>
      </c>
      <c r="V19" s="1248">
        <v>7518</v>
      </c>
      <c r="W19" s="1248">
        <v>6990</v>
      </c>
      <c r="X19" s="1248">
        <v>7062</v>
      </c>
      <c r="Y19" s="1293">
        <v>8131</v>
      </c>
      <c r="Z19" s="1248">
        <v>7918</v>
      </c>
      <c r="AA19" s="1248">
        <v>7331</v>
      </c>
      <c r="AB19" s="1248">
        <v>7454</v>
      </c>
      <c r="AC19" s="1293">
        <v>7968</v>
      </c>
      <c r="AD19" s="1248">
        <v>7667</v>
      </c>
      <c r="AE19" s="1248">
        <v>7242</v>
      </c>
      <c r="AF19" s="1248">
        <v>7351</v>
      </c>
      <c r="AG19" s="1293">
        <v>7913</v>
      </c>
      <c r="AH19" s="1248">
        <v>7024</v>
      </c>
      <c r="AI19" s="1248">
        <v>6489</v>
      </c>
      <c r="AJ19" s="1489">
        <v>6247</v>
      </c>
      <c r="AK19" s="1293">
        <v>6152</v>
      </c>
      <c r="AL19" s="1248">
        <v>6298</v>
      </c>
      <c r="AM19" s="1248">
        <v>6347</v>
      </c>
      <c r="AN19" s="1248">
        <v>6799</v>
      </c>
      <c r="AO19" s="1293">
        <v>7439</v>
      </c>
      <c r="AP19" s="1322">
        <v>6729</v>
      </c>
      <c r="AQ19" s="1322">
        <v>6111</v>
      </c>
      <c r="AR19" s="1322">
        <v>5945</v>
      </c>
      <c r="AS19" s="1322">
        <v>6201</v>
      </c>
      <c r="AT19" s="1314">
        <v>5940</v>
      </c>
      <c r="AU19" s="1293">
        <v>5413</v>
      </c>
      <c r="AV19" s="1293">
        <v>5561</v>
      </c>
      <c r="AW19" s="1322">
        <v>5875</v>
      </c>
      <c r="AX19" s="1297"/>
      <c r="AY19" s="1248">
        <v>29350</v>
      </c>
      <c r="AZ19" s="1248">
        <v>29356</v>
      </c>
      <c r="BA19" s="1322">
        <v>-6</v>
      </c>
      <c r="BB19" s="1056">
        <v>-2.0438751873552255E-4</v>
      </c>
      <c r="BC19" s="1235"/>
      <c r="BD19" s="1447">
        <v>29350</v>
      </c>
      <c r="BE19" s="1279">
        <v>29356</v>
      </c>
      <c r="BF19" s="1279">
        <v>28430</v>
      </c>
      <c r="BG19" s="1279">
        <v>29701</v>
      </c>
      <c r="BH19" s="1279">
        <v>30671</v>
      </c>
      <c r="BI19" s="1279">
        <v>30173</v>
      </c>
      <c r="BJ19" s="1279">
        <v>25912</v>
      </c>
      <c r="BK19" s="1279">
        <v>26883</v>
      </c>
      <c r="BL19" s="1447">
        <v>24986</v>
      </c>
      <c r="BM19" s="1447">
        <v>22789</v>
      </c>
      <c r="BN19" s="1309">
        <v>20531</v>
      </c>
      <c r="BO19" s="1309">
        <v>17980</v>
      </c>
      <c r="BP19" s="1309">
        <v>14519</v>
      </c>
      <c r="BQ19" s="1226"/>
      <c r="BR19" s="1226"/>
      <c r="BS19" s="1181"/>
      <c r="BV19" s="1181"/>
    </row>
    <row r="20" spans="1:74" ht="12.75" customHeight="1" x14ac:dyDescent="0.2">
      <c r="A20" s="971"/>
      <c r="B20" s="1235" t="s">
        <v>148</v>
      </c>
      <c r="C20" s="979">
        <v>-377</v>
      </c>
      <c r="D20" s="1056">
        <v>-0.2418216805644644</v>
      </c>
      <c r="E20" s="937"/>
      <c r="F20" s="1195"/>
      <c r="G20" s="1195"/>
      <c r="H20" s="1195"/>
      <c r="I20" s="2287">
        <v>-1936</v>
      </c>
      <c r="J20" s="1248">
        <v>-2544</v>
      </c>
      <c r="K20" s="1248">
        <v>-2209</v>
      </c>
      <c r="L20" s="1248">
        <v>-1715</v>
      </c>
      <c r="M20" s="1293">
        <v>-1559</v>
      </c>
      <c r="N20" s="1248">
        <v>-3608</v>
      </c>
      <c r="O20" s="1248">
        <v>-3625</v>
      </c>
      <c r="P20" s="1248">
        <v>-2673</v>
      </c>
      <c r="Q20" s="1293">
        <v>-3047</v>
      </c>
      <c r="R20" s="1248">
        <v>-3477</v>
      </c>
      <c r="S20" s="1248">
        <v>-3342</v>
      </c>
      <c r="T20" s="1248">
        <v>-3416</v>
      </c>
      <c r="U20" s="1293">
        <v>-2996</v>
      </c>
      <c r="V20" s="1248">
        <v>412</v>
      </c>
      <c r="W20" s="1248">
        <v>379</v>
      </c>
      <c r="X20" s="1248">
        <v>288</v>
      </c>
      <c r="Y20" s="1293">
        <v>367</v>
      </c>
      <c r="Z20" s="1248">
        <v>378</v>
      </c>
      <c r="AA20" s="1248">
        <v>309</v>
      </c>
      <c r="AB20" s="1248">
        <v>345</v>
      </c>
      <c r="AC20" s="1293">
        <v>453</v>
      </c>
      <c r="AD20" s="1248">
        <v>540</v>
      </c>
      <c r="AE20" s="1248">
        <v>325</v>
      </c>
      <c r="AF20" s="1248">
        <v>536</v>
      </c>
      <c r="AG20" s="1293">
        <v>596</v>
      </c>
      <c r="AH20" s="1248">
        <v>615</v>
      </c>
      <c r="AI20" s="1248">
        <v>569</v>
      </c>
      <c r="AJ20" s="1489">
        <v>607</v>
      </c>
      <c r="AK20" s="1293">
        <v>298</v>
      </c>
      <c r="AL20" s="1248">
        <v>250</v>
      </c>
      <c r="AM20" s="1248">
        <v>265</v>
      </c>
      <c r="AN20" s="1248">
        <v>-7</v>
      </c>
      <c r="AO20" s="1293">
        <v>-68</v>
      </c>
      <c r="AP20" s="1322">
        <v>108</v>
      </c>
      <c r="AQ20" s="1322">
        <v>68</v>
      </c>
      <c r="AR20" s="1322">
        <v>185</v>
      </c>
      <c r="AS20" s="1322">
        <v>118</v>
      </c>
      <c r="AT20" s="1314">
        <v>63</v>
      </c>
      <c r="AU20" s="1293">
        <v>18</v>
      </c>
      <c r="AV20" s="1293">
        <v>47</v>
      </c>
      <c r="AW20" s="1322">
        <v>185</v>
      </c>
      <c r="AX20" s="1297"/>
      <c r="AY20" s="1248">
        <v>-8027</v>
      </c>
      <c r="AZ20" s="1248">
        <v>-12953</v>
      </c>
      <c r="BA20" s="1322">
        <v>4926</v>
      </c>
      <c r="BB20" s="1056">
        <v>0.38029800046321316</v>
      </c>
      <c r="BC20" s="1235"/>
      <c r="BD20" s="1493">
        <v>-8027</v>
      </c>
      <c r="BE20" s="1279">
        <v>-12953</v>
      </c>
      <c r="BF20" s="1279">
        <v>-13231</v>
      </c>
      <c r="BG20" s="1279">
        <v>1446</v>
      </c>
      <c r="BH20" s="1279">
        <v>1485</v>
      </c>
      <c r="BI20" s="1279">
        <v>1997</v>
      </c>
      <c r="BJ20" s="1279">
        <v>2089</v>
      </c>
      <c r="BK20" s="1279">
        <v>440</v>
      </c>
      <c r="BL20" s="1447">
        <v>479</v>
      </c>
      <c r="BM20" s="1447">
        <v>313</v>
      </c>
      <c r="BN20" s="1309">
        <v>1507</v>
      </c>
      <c r="BO20" s="1309">
        <v>1110</v>
      </c>
      <c r="BP20" s="1309">
        <v>12562</v>
      </c>
      <c r="BQ20" s="1226"/>
      <c r="BR20" s="1226"/>
      <c r="BS20" s="1181"/>
      <c r="BV20" s="1181"/>
    </row>
    <row r="21" spans="1:74" ht="12.75" customHeight="1" x14ac:dyDescent="0.2">
      <c r="A21" s="971"/>
      <c r="B21" s="1235" t="s">
        <v>68</v>
      </c>
      <c r="C21" s="979">
        <v>63</v>
      </c>
      <c r="D21" s="1056">
        <v>5.7013574660633483E-2</v>
      </c>
      <c r="E21" s="937"/>
      <c r="F21" s="1190"/>
      <c r="G21" s="1190"/>
      <c r="H21" s="1195"/>
      <c r="I21" s="2287">
        <v>1168</v>
      </c>
      <c r="J21" s="1275">
        <v>1687</v>
      </c>
      <c r="K21" s="1275">
        <v>1136</v>
      </c>
      <c r="L21" s="1248">
        <v>1334</v>
      </c>
      <c r="M21" s="1293">
        <v>1105</v>
      </c>
      <c r="N21" s="1275">
        <v>1181</v>
      </c>
      <c r="O21" s="1275">
        <v>960</v>
      </c>
      <c r="P21" s="1248">
        <v>847</v>
      </c>
      <c r="Q21" s="1293">
        <v>965</v>
      </c>
      <c r="R21" s="1275">
        <v>1169</v>
      </c>
      <c r="S21" s="1275">
        <v>1294</v>
      </c>
      <c r="T21" s="1248">
        <v>1217</v>
      </c>
      <c r="U21" s="1293">
        <v>1306</v>
      </c>
      <c r="V21" s="1248">
        <v>1406</v>
      </c>
      <c r="W21" s="1248">
        <v>1377</v>
      </c>
      <c r="X21" s="1248">
        <v>1064</v>
      </c>
      <c r="Y21" s="1293">
        <v>1086</v>
      </c>
      <c r="Z21" s="1248">
        <v>1368</v>
      </c>
      <c r="AA21" s="1248">
        <v>1283</v>
      </c>
      <c r="AB21" s="1248">
        <v>853</v>
      </c>
      <c r="AC21" s="1293">
        <v>1871</v>
      </c>
      <c r="AD21" s="1248">
        <v>1951</v>
      </c>
      <c r="AE21" s="1248">
        <v>1667</v>
      </c>
      <c r="AF21" s="1248">
        <v>1625</v>
      </c>
      <c r="AG21" s="1293">
        <v>1488</v>
      </c>
      <c r="AH21" s="1248">
        <v>1290</v>
      </c>
      <c r="AI21" s="1248">
        <v>1170</v>
      </c>
      <c r="AJ21" s="1489">
        <v>1057</v>
      </c>
      <c r="AK21" s="1293">
        <v>1047</v>
      </c>
      <c r="AL21" s="1248">
        <v>1476</v>
      </c>
      <c r="AM21" s="1248">
        <v>1595</v>
      </c>
      <c r="AN21" s="1248">
        <v>1151</v>
      </c>
      <c r="AO21" s="1293">
        <v>1285</v>
      </c>
      <c r="AP21" s="1322">
        <v>1273</v>
      </c>
      <c r="AQ21" s="1322">
        <v>1165</v>
      </c>
      <c r="AR21" s="1322">
        <v>1220</v>
      </c>
      <c r="AS21" s="1322">
        <v>1111</v>
      </c>
      <c r="AT21" s="1314">
        <v>1003</v>
      </c>
      <c r="AU21" s="1293">
        <v>1099</v>
      </c>
      <c r="AV21" s="1293">
        <v>1396</v>
      </c>
      <c r="AW21" s="1322">
        <v>1393</v>
      </c>
      <c r="AX21" s="1297"/>
      <c r="AY21" s="1248">
        <v>5262</v>
      </c>
      <c r="AZ21" s="1248">
        <v>3953</v>
      </c>
      <c r="BA21" s="1322">
        <v>1309</v>
      </c>
      <c r="BB21" s="1056">
        <v>0.33114090564128512</v>
      </c>
      <c r="BC21" s="1235"/>
      <c r="BD21" s="1447">
        <v>5262</v>
      </c>
      <c r="BE21" s="1279">
        <v>3953</v>
      </c>
      <c r="BF21" s="1279">
        <v>4986</v>
      </c>
      <c r="BG21" s="1279">
        <v>4933</v>
      </c>
      <c r="BH21" s="1279">
        <v>5375</v>
      </c>
      <c r="BI21" s="1279">
        <v>6731</v>
      </c>
      <c r="BJ21" s="1279">
        <v>4564</v>
      </c>
      <c r="BK21" s="1279">
        <v>5507</v>
      </c>
      <c r="BL21" s="1447">
        <v>4769</v>
      </c>
      <c r="BM21" s="1447">
        <v>4891</v>
      </c>
      <c r="BN21" s="1309">
        <v>4493</v>
      </c>
      <c r="BO21" s="1309">
        <v>3216</v>
      </c>
      <c r="BP21" s="1309">
        <v>4039</v>
      </c>
      <c r="BQ21" s="1226"/>
      <c r="BR21" s="1226"/>
      <c r="BS21" s="1181"/>
      <c r="BV21" s="1181"/>
    </row>
    <row r="22" spans="1:74" ht="12.75" customHeight="1" x14ac:dyDescent="0.2">
      <c r="A22" s="971"/>
      <c r="B22" s="1235" t="s">
        <v>69</v>
      </c>
      <c r="C22" s="979">
        <v>510</v>
      </c>
      <c r="D22" s="1056">
        <v>0.57239057239057234</v>
      </c>
      <c r="E22" s="937"/>
      <c r="F22" s="1190"/>
      <c r="G22" s="1190"/>
      <c r="H22" s="1195"/>
      <c r="I22" s="2287">
        <v>1401</v>
      </c>
      <c r="J22" s="1275">
        <v>1286</v>
      </c>
      <c r="K22" s="1275">
        <v>1351</v>
      </c>
      <c r="L22" s="1248">
        <v>1450</v>
      </c>
      <c r="M22" s="1293">
        <v>891</v>
      </c>
      <c r="N22" s="1275">
        <v>1201</v>
      </c>
      <c r="O22" s="1275">
        <v>1371</v>
      </c>
      <c r="P22" s="1248">
        <v>1126</v>
      </c>
      <c r="Q22" s="1293">
        <v>1140</v>
      </c>
      <c r="R22" s="1275">
        <v>1223</v>
      </c>
      <c r="S22" s="1275">
        <v>1215</v>
      </c>
      <c r="T22" s="1248">
        <v>1261</v>
      </c>
      <c r="U22" s="1293">
        <v>850</v>
      </c>
      <c r="V22" s="1248">
        <v>1117</v>
      </c>
      <c r="W22" s="1248">
        <v>1175</v>
      </c>
      <c r="X22" s="1248">
        <v>1173</v>
      </c>
      <c r="Y22" s="1293">
        <v>1289</v>
      </c>
      <c r="Z22" s="1248">
        <v>1194</v>
      </c>
      <c r="AA22" s="1248">
        <v>1275</v>
      </c>
      <c r="AB22" s="1248">
        <v>1153</v>
      </c>
      <c r="AC22" s="1293">
        <v>1151</v>
      </c>
      <c r="AD22" s="1248">
        <v>1165</v>
      </c>
      <c r="AE22" s="1248">
        <v>824</v>
      </c>
      <c r="AF22" s="1248">
        <v>1253</v>
      </c>
      <c r="AG22" s="1293">
        <v>1073</v>
      </c>
      <c r="AH22" s="1248">
        <v>1098</v>
      </c>
      <c r="AI22" s="1248">
        <v>1172</v>
      </c>
      <c r="AJ22" s="1489">
        <v>1140</v>
      </c>
      <c r="AK22" s="1293">
        <v>1173</v>
      </c>
      <c r="AL22" s="1248">
        <v>1267</v>
      </c>
      <c r="AM22" s="1248">
        <v>1551</v>
      </c>
      <c r="AN22" s="1248">
        <v>1180</v>
      </c>
      <c r="AO22" s="1293">
        <v>1246</v>
      </c>
      <c r="AP22" s="1322">
        <v>1144</v>
      </c>
      <c r="AQ22" s="1322">
        <v>1004</v>
      </c>
      <c r="AR22" s="1322">
        <v>1278</v>
      </c>
      <c r="AS22" s="1322">
        <v>1190</v>
      </c>
      <c r="AT22" s="1314">
        <v>1227</v>
      </c>
      <c r="AU22" s="1293">
        <v>1240</v>
      </c>
      <c r="AV22" s="1293">
        <v>1286</v>
      </c>
      <c r="AW22" s="1322">
        <v>1034</v>
      </c>
      <c r="AX22" s="1297"/>
      <c r="AY22" s="1248">
        <v>4978</v>
      </c>
      <c r="AZ22" s="1248">
        <v>4838</v>
      </c>
      <c r="BA22" s="1322">
        <v>140</v>
      </c>
      <c r="BB22" s="1056">
        <v>2.8937577511368336E-2</v>
      </c>
      <c r="BC22" s="1235"/>
      <c r="BD22" s="1447">
        <v>4978</v>
      </c>
      <c r="BE22" s="1279">
        <v>4838</v>
      </c>
      <c r="BF22" s="1279">
        <v>4549</v>
      </c>
      <c r="BG22" s="1279">
        <v>4754</v>
      </c>
      <c r="BH22" s="1279">
        <v>4773</v>
      </c>
      <c r="BI22" s="1279">
        <v>4315</v>
      </c>
      <c r="BJ22" s="1279">
        <v>4583</v>
      </c>
      <c r="BK22" s="1279">
        <v>5244</v>
      </c>
      <c r="BL22" s="1447">
        <v>4616</v>
      </c>
      <c r="BM22" s="1447">
        <v>4787</v>
      </c>
      <c r="BN22" s="1309">
        <v>3805</v>
      </c>
      <c r="BO22" s="1309">
        <v>2966</v>
      </c>
      <c r="BP22" s="1309">
        <v>2594</v>
      </c>
      <c r="BQ22" s="1226"/>
      <c r="BR22" s="1226"/>
      <c r="BS22" s="1181"/>
      <c r="BV22" s="1181"/>
    </row>
    <row r="23" spans="1:74" ht="12.75" customHeight="1" x14ac:dyDescent="0.2">
      <c r="A23" s="971"/>
      <c r="B23" s="1235" t="s">
        <v>64</v>
      </c>
      <c r="C23" s="979">
        <v>-7</v>
      </c>
      <c r="D23" s="1056">
        <v>-1.9607843137254902E-2</v>
      </c>
      <c r="E23" s="937"/>
      <c r="F23" s="1190"/>
      <c r="G23" s="1190"/>
      <c r="H23" s="1195"/>
      <c r="I23" s="2287">
        <v>350</v>
      </c>
      <c r="J23" s="1275">
        <v>374</v>
      </c>
      <c r="K23" s="1275">
        <v>352</v>
      </c>
      <c r="L23" s="1248">
        <v>356</v>
      </c>
      <c r="M23" s="1293">
        <v>357</v>
      </c>
      <c r="N23" s="1275">
        <v>361</v>
      </c>
      <c r="O23" s="1275">
        <v>417</v>
      </c>
      <c r="P23" s="1248">
        <v>283</v>
      </c>
      <c r="Q23" s="1293">
        <v>357</v>
      </c>
      <c r="R23" s="1275">
        <v>385</v>
      </c>
      <c r="S23" s="1275">
        <v>559</v>
      </c>
      <c r="T23" s="1248">
        <v>379</v>
      </c>
      <c r="U23" s="1293">
        <v>368</v>
      </c>
      <c r="V23" s="1248">
        <v>520</v>
      </c>
      <c r="W23" s="1248">
        <v>381</v>
      </c>
      <c r="X23" s="1248">
        <v>364</v>
      </c>
      <c r="Y23" s="1293">
        <v>541</v>
      </c>
      <c r="Z23" s="1248">
        <v>378</v>
      </c>
      <c r="AA23" s="1248">
        <v>387</v>
      </c>
      <c r="AB23" s="1248">
        <v>373</v>
      </c>
      <c r="AC23" s="1293">
        <v>398</v>
      </c>
      <c r="AD23" s="1248">
        <v>427</v>
      </c>
      <c r="AE23" s="1248">
        <v>391</v>
      </c>
      <c r="AF23" s="1248">
        <v>361</v>
      </c>
      <c r="AG23" s="1293">
        <v>356</v>
      </c>
      <c r="AH23" s="1248">
        <v>337</v>
      </c>
      <c r="AI23" s="1248">
        <v>290</v>
      </c>
      <c r="AJ23" s="1489">
        <v>322</v>
      </c>
      <c r="AK23" s="1293">
        <v>442</v>
      </c>
      <c r="AL23" s="1248">
        <v>407</v>
      </c>
      <c r="AM23" s="1248">
        <v>538</v>
      </c>
      <c r="AN23" s="1248">
        <v>538</v>
      </c>
      <c r="AO23" s="1293">
        <v>562</v>
      </c>
      <c r="AP23" s="1322">
        <v>526</v>
      </c>
      <c r="AQ23" s="1322">
        <v>531</v>
      </c>
      <c r="AR23" s="1322">
        <v>625</v>
      </c>
      <c r="AS23" s="1322">
        <v>514</v>
      </c>
      <c r="AT23" s="1314">
        <v>-48</v>
      </c>
      <c r="AU23" s="1293">
        <v>-6</v>
      </c>
      <c r="AV23" s="1293">
        <v>79</v>
      </c>
      <c r="AW23" s="1322">
        <v>45</v>
      </c>
      <c r="AX23" s="1297"/>
      <c r="AY23" s="1248">
        <v>1439</v>
      </c>
      <c r="AZ23" s="1248">
        <v>1418</v>
      </c>
      <c r="BA23" s="1322">
        <v>21</v>
      </c>
      <c r="BB23" s="1056">
        <v>1.4809590973201692E-2</v>
      </c>
      <c r="BC23" s="1235"/>
      <c r="BD23" s="1447">
        <v>1439</v>
      </c>
      <c r="BE23" s="1279">
        <v>1418</v>
      </c>
      <c r="BF23" s="1279">
        <v>1691</v>
      </c>
      <c r="BG23" s="1279">
        <v>1806</v>
      </c>
      <c r="BH23" s="1279">
        <v>1536</v>
      </c>
      <c r="BI23" s="1279">
        <v>1535</v>
      </c>
      <c r="BJ23" s="1279">
        <v>1391</v>
      </c>
      <c r="BK23" s="1279">
        <v>2045</v>
      </c>
      <c r="BL23" s="1447">
        <v>2196</v>
      </c>
      <c r="BM23" s="1447">
        <v>70</v>
      </c>
      <c r="BN23" s="1309">
        <v>1931</v>
      </c>
      <c r="BO23" s="1309">
        <v>3502</v>
      </c>
      <c r="BP23" s="1309">
        <v>3959</v>
      </c>
      <c r="BQ23" s="1226"/>
      <c r="BR23" s="1226"/>
      <c r="BS23" s="1181"/>
      <c r="BV23" s="1181"/>
    </row>
    <row r="24" spans="1:74" ht="12.75" customHeight="1" x14ac:dyDescent="0.2">
      <c r="A24" s="971"/>
      <c r="B24" s="1235" t="s">
        <v>89</v>
      </c>
      <c r="C24" s="979">
        <v>-1131</v>
      </c>
      <c r="D24" s="1056">
        <v>-0.29716237519705729</v>
      </c>
      <c r="E24" s="937"/>
      <c r="F24" s="1190"/>
      <c r="G24" s="1190"/>
      <c r="H24" s="1195"/>
      <c r="I24" s="2287">
        <v>2675</v>
      </c>
      <c r="J24" s="1275">
        <v>2591</v>
      </c>
      <c r="K24" s="1275">
        <v>3889</v>
      </c>
      <c r="L24" s="1248">
        <v>2727</v>
      </c>
      <c r="M24" s="1293">
        <v>3806</v>
      </c>
      <c r="N24" s="1275">
        <v>3348</v>
      </c>
      <c r="O24" s="1275">
        <v>4039</v>
      </c>
      <c r="P24" s="1248">
        <v>3092</v>
      </c>
      <c r="Q24" s="1293">
        <v>3495</v>
      </c>
      <c r="R24" s="1275">
        <v>2169</v>
      </c>
      <c r="S24" s="1275">
        <v>3309</v>
      </c>
      <c r="T24" s="1248">
        <v>2778</v>
      </c>
      <c r="U24" s="1293">
        <v>3085</v>
      </c>
      <c r="V24" s="1248">
        <v>3229</v>
      </c>
      <c r="W24" s="1248">
        <v>2825</v>
      </c>
      <c r="X24" s="1248">
        <v>1268</v>
      </c>
      <c r="Y24" s="1293">
        <v>1787</v>
      </c>
      <c r="Z24" s="1248">
        <v>5300</v>
      </c>
      <c r="AA24" s="1248">
        <v>3774</v>
      </c>
      <c r="AB24" s="1248">
        <v>3317</v>
      </c>
      <c r="AC24" s="1293">
        <v>3609</v>
      </c>
      <c r="AD24" s="1248">
        <v>5365</v>
      </c>
      <c r="AE24" s="1248">
        <v>3517</v>
      </c>
      <c r="AF24" s="1248">
        <v>3694</v>
      </c>
      <c r="AG24" s="1293">
        <v>3074</v>
      </c>
      <c r="AH24" s="1248">
        <v>4645</v>
      </c>
      <c r="AI24" s="1248">
        <v>3707</v>
      </c>
      <c r="AJ24" s="1489">
        <v>3993</v>
      </c>
      <c r="AK24" s="1293">
        <v>2101</v>
      </c>
      <c r="AL24" s="1248">
        <v>3469</v>
      </c>
      <c r="AM24" s="1248">
        <v>3128</v>
      </c>
      <c r="AN24" s="1248">
        <v>4162</v>
      </c>
      <c r="AO24" s="1293">
        <v>3270</v>
      </c>
      <c r="AP24" s="1322">
        <v>3650</v>
      </c>
      <c r="AQ24" s="1322">
        <v>5050</v>
      </c>
      <c r="AR24" s="1322">
        <v>3276</v>
      </c>
      <c r="AS24" s="1322">
        <v>4921</v>
      </c>
      <c r="AT24" s="1314">
        <v>3742</v>
      </c>
      <c r="AU24" s="1293">
        <v>3593</v>
      </c>
      <c r="AV24" s="1293">
        <v>3962</v>
      </c>
      <c r="AW24" s="1322">
        <v>4354</v>
      </c>
      <c r="AX24" s="1297"/>
      <c r="AY24" s="1248">
        <v>13013</v>
      </c>
      <c r="AZ24" s="1248">
        <v>13974</v>
      </c>
      <c r="BA24" s="1322">
        <v>-961</v>
      </c>
      <c r="BB24" s="1056">
        <v>-6.8770573922999859E-2</v>
      </c>
      <c r="BC24" s="1235"/>
      <c r="BD24" s="1447">
        <v>13013</v>
      </c>
      <c r="BE24" s="1279">
        <v>13974</v>
      </c>
      <c r="BF24" s="1279">
        <v>11341</v>
      </c>
      <c r="BG24" s="1279">
        <v>9109</v>
      </c>
      <c r="BH24" s="1279">
        <v>16000</v>
      </c>
      <c r="BI24" s="1279">
        <v>15650</v>
      </c>
      <c r="BJ24" s="1279">
        <v>14446</v>
      </c>
      <c r="BK24" s="1279">
        <v>14029</v>
      </c>
      <c r="BL24" s="1447">
        <v>16897</v>
      </c>
      <c r="BM24" s="1447">
        <v>15651</v>
      </c>
      <c r="BN24" s="1309">
        <v>14067</v>
      </c>
      <c r="BO24" s="1309">
        <v>13643</v>
      </c>
      <c r="BP24" s="1309">
        <v>7931</v>
      </c>
      <c r="BQ24" s="1226"/>
      <c r="BR24" s="1226"/>
      <c r="BS24" s="1181"/>
      <c r="BV24" s="1181"/>
    </row>
    <row r="25" spans="1:74" ht="12.75" customHeight="1" x14ac:dyDescent="0.2">
      <c r="A25" s="971"/>
      <c r="B25" s="1235" t="s">
        <v>71</v>
      </c>
      <c r="C25" s="979">
        <v>-27</v>
      </c>
      <c r="D25" s="1056">
        <v>-9.7122302158273388E-2</v>
      </c>
      <c r="E25" s="1205"/>
      <c r="F25" s="1190"/>
      <c r="G25" s="1190"/>
      <c r="H25" s="1195"/>
      <c r="I25" s="2287">
        <v>251</v>
      </c>
      <c r="J25" s="1275">
        <v>294</v>
      </c>
      <c r="K25" s="1275">
        <v>311</v>
      </c>
      <c r="L25" s="1248">
        <v>277</v>
      </c>
      <c r="M25" s="1293">
        <v>278</v>
      </c>
      <c r="N25" s="1275">
        <v>613</v>
      </c>
      <c r="O25" s="1275">
        <v>463</v>
      </c>
      <c r="P25" s="1248">
        <v>444</v>
      </c>
      <c r="Q25" s="1293">
        <v>400</v>
      </c>
      <c r="R25" s="1275">
        <v>424</v>
      </c>
      <c r="S25" s="1275">
        <v>478</v>
      </c>
      <c r="T25" s="1248">
        <v>414</v>
      </c>
      <c r="U25" s="1293">
        <v>466</v>
      </c>
      <c r="V25" s="1248">
        <v>705</v>
      </c>
      <c r="W25" s="1248">
        <v>498</v>
      </c>
      <c r="X25" s="1248">
        <v>385</v>
      </c>
      <c r="Y25" s="1293">
        <v>382</v>
      </c>
      <c r="Z25" s="1248">
        <v>365</v>
      </c>
      <c r="AA25" s="1248">
        <v>460</v>
      </c>
      <c r="AB25" s="1248">
        <v>336</v>
      </c>
      <c r="AC25" s="1293">
        <v>462</v>
      </c>
      <c r="AD25" s="1248">
        <v>561</v>
      </c>
      <c r="AE25" s="1248">
        <v>361</v>
      </c>
      <c r="AF25" s="1248">
        <v>343</v>
      </c>
      <c r="AG25" s="1293">
        <v>317</v>
      </c>
      <c r="AH25" s="1248">
        <v>383</v>
      </c>
      <c r="AI25" s="1248">
        <v>364</v>
      </c>
      <c r="AJ25" s="1489">
        <v>362</v>
      </c>
      <c r="AK25" s="1293">
        <v>361</v>
      </c>
      <c r="AL25" s="1248">
        <v>465</v>
      </c>
      <c r="AM25" s="1248">
        <v>702</v>
      </c>
      <c r="AN25" s="1248">
        <v>735</v>
      </c>
      <c r="AO25" s="1293">
        <v>721</v>
      </c>
      <c r="AP25" s="1322">
        <v>782</v>
      </c>
      <c r="AQ25" s="1322">
        <v>718</v>
      </c>
      <c r="AR25" s="1322">
        <v>689</v>
      </c>
      <c r="AS25" s="1322">
        <v>636</v>
      </c>
      <c r="AT25" s="1314">
        <v>666</v>
      </c>
      <c r="AU25" s="1293">
        <v>632</v>
      </c>
      <c r="AV25" s="1293">
        <v>655</v>
      </c>
      <c r="AW25" s="1322">
        <v>629</v>
      </c>
      <c r="AX25" s="1297"/>
      <c r="AY25" s="1248">
        <v>1160</v>
      </c>
      <c r="AZ25" s="1248">
        <v>1920</v>
      </c>
      <c r="BA25" s="1322">
        <v>-760</v>
      </c>
      <c r="BB25" s="1056">
        <v>-0.39583333333333331</v>
      </c>
      <c r="BC25" s="1235"/>
      <c r="BD25" s="1447">
        <v>1160</v>
      </c>
      <c r="BE25" s="1279">
        <v>1920</v>
      </c>
      <c r="BF25" s="1279">
        <v>1782</v>
      </c>
      <c r="BG25" s="1279">
        <v>1970</v>
      </c>
      <c r="BH25" s="1279">
        <v>1623</v>
      </c>
      <c r="BI25" s="1279">
        <v>1582</v>
      </c>
      <c r="BJ25" s="1279">
        <v>1470</v>
      </c>
      <c r="BK25" s="1279">
        <v>2623</v>
      </c>
      <c r="BL25" s="1447">
        <v>2825</v>
      </c>
      <c r="BM25" s="1447">
        <v>2582</v>
      </c>
      <c r="BN25" s="1309">
        <v>1468</v>
      </c>
      <c r="BO25" s="1309">
        <v>894</v>
      </c>
      <c r="BP25" s="1309">
        <v>979</v>
      </c>
      <c r="BQ25" s="1226"/>
      <c r="BR25" s="1226"/>
      <c r="BS25" s="1181"/>
      <c r="BV25" s="1181"/>
    </row>
    <row r="26" spans="1:74" x14ac:dyDescent="0.2">
      <c r="A26" s="971"/>
      <c r="B26" s="1235" t="s">
        <v>72</v>
      </c>
      <c r="C26" s="979">
        <v>9</v>
      </c>
      <c r="D26" s="1056">
        <v>2.6946107784431138E-2</v>
      </c>
      <c r="E26" s="937"/>
      <c r="F26" s="1190"/>
      <c r="G26" s="1190"/>
      <c r="H26" s="1195"/>
      <c r="I26" s="2287">
        <v>343</v>
      </c>
      <c r="J26" s="1275">
        <v>7959</v>
      </c>
      <c r="K26" s="1275">
        <v>2693</v>
      </c>
      <c r="L26" s="1248">
        <v>363</v>
      </c>
      <c r="M26" s="1293">
        <v>334</v>
      </c>
      <c r="N26" s="1275">
        <v>5692</v>
      </c>
      <c r="O26" s="1275">
        <v>383</v>
      </c>
      <c r="P26" s="1248">
        <v>337</v>
      </c>
      <c r="Q26" s="1293">
        <v>352</v>
      </c>
      <c r="R26" s="1275">
        <v>426</v>
      </c>
      <c r="S26" s="1275">
        <v>373</v>
      </c>
      <c r="T26" s="1248">
        <v>382</v>
      </c>
      <c r="U26" s="1293">
        <v>426</v>
      </c>
      <c r="V26" s="1248">
        <v>504</v>
      </c>
      <c r="W26" s="1248">
        <v>488</v>
      </c>
      <c r="X26" s="1248">
        <v>509</v>
      </c>
      <c r="Y26" s="1293">
        <v>487</v>
      </c>
      <c r="Z26" s="1248">
        <v>495</v>
      </c>
      <c r="AA26" s="1248">
        <v>561</v>
      </c>
      <c r="AB26" s="1248">
        <v>527</v>
      </c>
      <c r="AC26" s="1293">
        <v>401</v>
      </c>
      <c r="AD26" s="1248">
        <v>786</v>
      </c>
      <c r="AE26" s="1248">
        <v>587</v>
      </c>
      <c r="AF26" s="1248">
        <v>576</v>
      </c>
      <c r="AG26" s="1293">
        <v>370</v>
      </c>
      <c r="AH26" s="1248">
        <v>1160</v>
      </c>
      <c r="AI26" s="1248">
        <v>1040</v>
      </c>
      <c r="AJ26" s="1489">
        <v>1087</v>
      </c>
      <c r="AK26" s="1293">
        <v>1005</v>
      </c>
      <c r="AL26" s="1248">
        <v>1381</v>
      </c>
      <c r="AM26" s="1248">
        <v>1175</v>
      </c>
      <c r="AN26" s="1248">
        <v>1323</v>
      </c>
      <c r="AO26" s="1293">
        <v>1773</v>
      </c>
      <c r="AP26" s="1322">
        <v>1641</v>
      </c>
      <c r="AQ26" s="1322">
        <v>1288</v>
      </c>
      <c r="AR26" s="1322">
        <v>1243</v>
      </c>
      <c r="AS26" s="1322">
        <v>1509</v>
      </c>
      <c r="AT26" s="1314">
        <v>1308</v>
      </c>
      <c r="AU26" s="1293">
        <v>1121</v>
      </c>
      <c r="AV26" s="1293">
        <v>962</v>
      </c>
      <c r="AW26" s="1322">
        <v>1059</v>
      </c>
      <c r="AX26" s="1314"/>
      <c r="AY26" s="1248">
        <v>11349</v>
      </c>
      <c r="AZ26" s="1248">
        <v>6764</v>
      </c>
      <c r="BA26" s="1322">
        <v>4585</v>
      </c>
      <c r="BB26" s="1056">
        <v>0.67785334121821406</v>
      </c>
      <c r="BC26" s="1235"/>
      <c r="BD26" s="1447">
        <v>11349</v>
      </c>
      <c r="BE26" s="1279">
        <v>6764</v>
      </c>
      <c r="BF26" s="1279">
        <v>1607</v>
      </c>
      <c r="BG26" s="1279">
        <v>1988</v>
      </c>
      <c r="BH26" s="1279">
        <v>1984</v>
      </c>
      <c r="BI26" s="1279">
        <v>2319</v>
      </c>
      <c r="BJ26" s="1279">
        <v>4292</v>
      </c>
      <c r="BK26" s="1279">
        <v>5652</v>
      </c>
      <c r="BL26" s="1447">
        <v>5681</v>
      </c>
      <c r="BM26" s="1447">
        <v>4450</v>
      </c>
      <c r="BN26" s="1309">
        <v>4256</v>
      </c>
      <c r="BO26" s="1309">
        <v>4444</v>
      </c>
      <c r="BP26" s="1309">
        <v>4143</v>
      </c>
      <c r="BQ26" s="1226"/>
      <c r="BR26" s="1226"/>
      <c r="BS26" s="1181"/>
      <c r="BV26" s="1181"/>
    </row>
    <row r="27" spans="1:74" s="2005" customFormat="1" ht="12.75" customHeight="1" x14ac:dyDescent="0.2">
      <c r="A27" s="969"/>
      <c r="B27" s="969" t="s">
        <v>160</v>
      </c>
      <c r="C27" s="979">
        <v>0</v>
      </c>
      <c r="D27" s="1056">
        <v>0</v>
      </c>
      <c r="E27" s="937">
        <v>0</v>
      </c>
      <c r="F27" s="1192"/>
      <c r="G27" s="932"/>
      <c r="H27" s="1209"/>
      <c r="I27" s="2287">
        <v>0</v>
      </c>
      <c r="J27" s="1281">
        <v>4582</v>
      </c>
      <c r="K27" s="1026">
        <v>1300</v>
      </c>
      <c r="L27" s="1322">
        <v>0</v>
      </c>
      <c r="M27" s="1293">
        <v>0</v>
      </c>
      <c r="N27" s="1026">
        <v>1433</v>
      </c>
      <c r="O27" s="1026">
        <v>0</v>
      </c>
      <c r="P27" s="1322">
        <v>0</v>
      </c>
      <c r="Q27" s="1293">
        <v>1600</v>
      </c>
      <c r="R27" s="1026">
        <v>0</v>
      </c>
      <c r="S27" s="1026">
        <v>0</v>
      </c>
      <c r="T27" s="1322">
        <v>0</v>
      </c>
      <c r="U27" s="1293">
        <v>0</v>
      </c>
      <c r="V27" s="1322">
        <v>0</v>
      </c>
      <c r="W27" s="1322">
        <v>0</v>
      </c>
      <c r="X27" s="1322">
        <v>900</v>
      </c>
      <c r="Y27" s="1293">
        <v>0</v>
      </c>
      <c r="Z27" s="1322">
        <v>275</v>
      </c>
      <c r="AA27" s="1322">
        <v>5000</v>
      </c>
      <c r="AB27" s="1322">
        <v>0</v>
      </c>
      <c r="AC27" s="1293">
        <v>0</v>
      </c>
      <c r="AD27" s="1322">
        <v>0</v>
      </c>
      <c r="AE27" s="1322">
        <v>0</v>
      </c>
      <c r="AF27" s="1322">
        <v>0</v>
      </c>
      <c r="AG27" s="1293">
        <v>0</v>
      </c>
      <c r="AH27" s="1322">
        <v>0</v>
      </c>
      <c r="AI27" s="1322">
        <v>0</v>
      </c>
      <c r="AJ27" s="1293">
        <v>0</v>
      </c>
      <c r="AK27" s="1293">
        <v>0</v>
      </c>
      <c r="AL27" s="1248">
        <v>120</v>
      </c>
      <c r="AM27" s="1248">
        <v>1391</v>
      </c>
      <c r="AN27" s="1322">
        <v>0</v>
      </c>
      <c r="AO27" s="1293">
        <v>0</v>
      </c>
      <c r="AP27" s="1322">
        <v>2300</v>
      </c>
      <c r="AQ27" s="1322">
        <v>0</v>
      </c>
      <c r="AR27" s="1322">
        <v>0</v>
      </c>
      <c r="AS27" s="1293">
        <v>0</v>
      </c>
      <c r="AT27" s="1314">
        <v>0</v>
      </c>
      <c r="AU27" s="1293">
        <v>0</v>
      </c>
      <c r="AV27" s="1293"/>
      <c r="AW27" s="1322"/>
      <c r="AX27" s="1314"/>
      <c r="AY27" s="1322">
        <v>5882</v>
      </c>
      <c r="AZ27" s="1294">
        <v>3033</v>
      </c>
      <c r="BA27" s="1322">
        <v>2849</v>
      </c>
      <c r="BB27" s="1056">
        <v>0.93933399274645568</v>
      </c>
      <c r="BC27" s="1235"/>
      <c r="BD27" s="1447">
        <v>5882</v>
      </c>
      <c r="BE27" s="1279">
        <v>3033</v>
      </c>
      <c r="BF27" s="1279">
        <v>0</v>
      </c>
      <c r="BG27" s="1279">
        <v>900</v>
      </c>
      <c r="BH27" s="1279">
        <v>5275</v>
      </c>
      <c r="BI27" s="1279">
        <v>0</v>
      </c>
      <c r="BJ27" s="1279">
        <v>0</v>
      </c>
      <c r="BK27" s="1447">
        <v>1511</v>
      </c>
      <c r="BL27" s="1465">
        <v>2300</v>
      </c>
      <c r="BM27" s="1465">
        <v>0</v>
      </c>
      <c r="BN27" s="1309">
        <v>0</v>
      </c>
      <c r="BO27" s="1309">
        <v>0</v>
      </c>
      <c r="BP27" s="1309">
        <v>0</v>
      </c>
      <c r="BQ27" s="2045"/>
      <c r="BR27" s="2045"/>
      <c r="BS27" s="2004"/>
      <c r="BV27" s="2004"/>
    </row>
    <row r="28" spans="1:74" x14ac:dyDescent="0.2">
      <c r="A28" s="971"/>
      <c r="B28" s="1235" t="s">
        <v>181</v>
      </c>
      <c r="C28" s="979">
        <v>0</v>
      </c>
      <c r="D28" s="1056">
        <v>0</v>
      </c>
      <c r="E28" s="937"/>
      <c r="F28" s="1192"/>
      <c r="G28" s="932"/>
      <c r="H28" s="1209"/>
      <c r="I28" s="2287">
        <v>0</v>
      </c>
      <c r="J28" s="1281">
        <v>0</v>
      </c>
      <c r="K28" s="1026">
        <v>0</v>
      </c>
      <c r="L28" s="1322">
        <v>0</v>
      </c>
      <c r="M28" s="1293">
        <v>0</v>
      </c>
      <c r="N28" s="1026">
        <v>0</v>
      </c>
      <c r="O28" s="1026">
        <v>0</v>
      </c>
      <c r="P28" s="1322">
        <v>0</v>
      </c>
      <c r="Q28" s="1293">
        <v>0</v>
      </c>
      <c r="R28" s="1026">
        <v>0</v>
      </c>
      <c r="S28" s="1026">
        <v>0</v>
      </c>
      <c r="T28" s="1322">
        <v>0</v>
      </c>
      <c r="U28" s="1293">
        <v>0</v>
      </c>
      <c r="V28" s="1322">
        <v>0</v>
      </c>
      <c r="W28" s="1322">
        <v>0</v>
      </c>
      <c r="X28" s="1322">
        <v>0</v>
      </c>
      <c r="Y28" s="1293">
        <v>0</v>
      </c>
      <c r="Z28" s="1322">
        <v>0</v>
      </c>
      <c r="AA28" s="1322">
        <v>0</v>
      </c>
      <c r="AB28" s="1322">
        <v>1513</v>
      </c>
      <c r="AC28" s="1293">
        <v>0</v>
      </c>
      <c r="AD28" s="1322">
        <v>0</v>
      </c>
      <c r="AE28" s="1322">
        <v>0</v>
      </c>
      <c r="AF28" s="1322">
        <v>0</v>
      </c>
      <c r="AG28" s="1293">
        <v>0</v>
      </c>
      <c r="AH28" s="1322">
        <v>0</v>
      </c>
      <c r="AI28" s="1322">
        <v>0</v>
      </c>
      <c r="AJ28" s="1293">
        <v>0</v>
      </c>
      <c r="AK28" s="1293">
        <v>0</v>
      </c>
      <c r="AL28" s="1322">
        <v>0</v>
      </c>
      <c r="AM28" s="1322">
        <v>0</v>
      </c>
      <c r="AN28" s="1322">
        <v>0</v>
      </c>
      <c r="AO28" s="1293">
        <v>0</v>
      </c>
      <c r="AP28" s="1322">
        <v>0</v>
      </c>
      <c r="AQ28" s="1322">
        <v>0</v>
      </c>
      <c r="AR28" s="1322">
        <v>0</v>
      </c>
      <c r="AS28" s="1293">
        <v>0</v>
      </c>
      <c r="AT28" s="1314">
        <v>0</v>
      </c>
      <c r="AU28" s="1293">
        <v>0</v>
      </c>
      <c r="AV28" s="1293">
        <v>0</v>
      </c>
      <c r="AW28" s="1322">
        <v>0</v>
      </c>
      <c r="AX28" s="1314"/>
      <c r="AY28" s="1248">
        <v>0</v>
      </c>
      <c r="AZ28" s="1294">
        <v>0</v>
      </c>
      <c r="BA28" s="1322">
        <v>0</v>
      </c>
      <c r="BB28" s="1056">
        <v>0</v>
      </c>
      <c r="BC28" s="1235"/>
      <c r="BD28" s="2208">
        <v>0</v>
      </c>
      <c r="BE28" s="1279">
        <v>0</v>
      </c>
      <c r="BF28" s="1279">
        <v>0</v>
      </c>
      <c r="BG28" s="1279">
        <v>0</v>
      </c>
      <c r="BH28" s="1279">
        <v>1513</v>
      </c>
      <c r="BI28" s="1279">
        <v>0</v>
      </c>
      <c r="BJ28" s="1279">
        <v>0</v>
      </c>
      <c r="BK28" s="1279">
        <v>0</v>
      </c>
      <c r="BL28" s="1279">
        <v>0</v>
      </c>
      <c r="BM28" s="1279">
        <v>0</v>
      </c>
      <c r="BN28" s="1309">
        <v>-1633</v>
      </c>
      <c r="BO28" s="1309">
        <v>0</v>
      </c>
      <c r="BP28" s="1309">
        <v>0</v>
      </c>
      <c r="BQ28" s="1226"/>
      <c r="BR28" s="1226"/>
      <c r="BS28" s="1181"/>
      <c r="BV28" s="1181"/>
    </row>
    <row r="29" spans="1:74" ht="12.75" customHeight="1" x14ac:dyDescent="0.2">
      <c r="A29" s="971"/>
      <c r="B29" s="969"/>
      <c r="C29" s="1231">
        <v>-1940</v>
      </c>
      <c r="D29" s="2145">
        <v>-0.13242320819112627</v>
      </c>
      <c r="E29" s="937"/>
      <c r="F29" s="1395">
        <v>0</v>
      </c>
      <c r="G29" s="1395">
        <v>0</v>
      </c>
      <c r="H29" s="1395">
        <v>0</v>
      </c>
      <c r="I29" s="2300">
        <v>12710</v>
      </c>
      <c r="J29" s="1452">
        <v>27582</v>
      </c>
      <c r="K29" s="1452">
        <v>17451</v>
      </c>
      <c r="L29" s="1452">
        <v>13258</v>
      </c>
      <c r="M29" s="1453">
        <v>14650</v>
      </c>
      <c r="N29" s="1452">
        <v>22502</v>
      </c>
      <c r="O29" s="1452">
        <v>11773</v>
      </c>
      <c r="P29" s="1452">
        <v>14577</v>
      </c>
      <c r="Q29" s="1453">
        <v>15195</v>
      </c>
      <c r="R29" s="1452">
        <v>14301</v>
      </c>
      <c r="S29" s="1452">
        <v>14113</v>
      </c>
      <c r="T29" s="1452">
        <v>10859</v>
      </c>
      <c r="U29" s="1453">
        <v>11815</v>
      </c>
      <c r="V29" s="1452">
        <v>17861</v>
      </c>
      <c r="W29" s="1452">
        <v>16806</v>
      </c>
      <c r="X29" s="1452">
        <v>13059</v>
      </c>
      <c r="Y29" s="1453">
        <v>13912</v>
      </c>
      <c r="Z29" s="1452">
        <v>20353</v>
      </c>
      <c r="AA29" s="1452">
        <v>22418</v>
      </c>
      <c r="AB29" s="1452">
        <v>17057</v>
      </c>
      <c r="AC29" s="1453">
        <v>19546</v>
      </c>
      <c r="AD29" s="1452">
        <v>26472</v>
      </c>
      <c r="AE29" s="1452">
        <v>22610</v>
      </c>
      <c r="AF29" s="1452">
        <v>18461</v>
      </c>
      <c r="AG29" s="1453">
        <v>18221</v>
      </c>
      <c r="AH29" s="1452">
        <v>19487</v>
      </c>
      <c r="AI29" s="1452">
        <v>20730</v>
      </c>
      <c r="AJ29" s="1453">
        <v>16652</v>
      </c>
      <c r="AK29" s="1453">
        <v>17168</v>
      </c>
      <c r="AL29" s="1452">
        <v>16804</v>
      </c>
      <c r="AM29" s="1452">
        <v>23639</v>
      </c>
      <c r="AN29" s="1452">
        <v>16744</v>
      </c>
      <c r="AO29" s="1453">
        <v>19476</v>
      </c>
      <c r="AP29" s="1452">
        <v>20260</v>
      </c>
      <c r="AQ29" s="1452">
        <v>23462</v>
      </c>
      <c r="AR29" s="1452">
        <v>21574</v>
      </c>
      <c r="AS29" s="1315">
        <v>23723</v>
      </c>
      <c r="AT29" s="1291">
        <v>20053</v>
      </c>
      <c r="AU29" s="1286">
        <v>19182</v>
      </c>
      <c r="AV29" s="1286">
        <v>18732</v>
      </c>
      <c r="AW29" s="1315">
        <v>20213</v>
      </c>
      <c r="AX29" s="1055"/>
      <c r="AY29" s="1315">
        <v>72941</v>
      </c>
      <c r="AZ29" s="1315">
        <v>64047</v>
      </c>
      <c r="BA29" s="2132">
        <v>8894</v>
      </c>
      <c r="BB29" s="1424">
        <v>0.13886676971598982</v>
      </c>
      <c r="BC29" s="1228"/>
      <c r="BD29" s="1315">
        <v>72941</v>
      </c>
      <c r="BE29" s="1291">
        <v>64047</v>
      </c>
      <c r="BF29" s="1453">
        <v>51088</v>
      </c>
      <c r="BG29" s="1453">
        <v>61638</v>
      </c>
      <c r="BH29" s="1453">
        <v>79374</v>
      </c>
      <c r="BI29" s="1453">
        <v>85764</v>
      </c>
      <c r="BJ29" s="1473">
        <v>74037</v>
      </c>
      <c r="BK29" s="1504">
        <v>76663</v>
      </c>
      <c r="BL29" s="1504">
        <v>89019</v>
      </c>
      <c r="BM29" s="1504">
        <v>78180</v>
      </c>
      <c r="BN29" s="2037">
        <v>68726</v>
      </c>
      <c r="BO29" s="2037">
        <v>58783</v>
      </c>
      <c r="BP29" s="1318">
        <v>66472</v>
      </c>
      <c r="BQ29" s="1226"/>
      <c r="BR29" s="1226"/>
      <c r="BS29" s="1181"/>
      <c r="BV29" s="1181"/>
    </row>
    <row r="30" spans="1:74" s="1211" customFormat="1" ht="24.75" customHeight="1" thickBot="1" x14ac:dyDescent="0.25">
      <c r="A30" s="2465" t="s">
        <v>195</v>
      </c>
      <c r="B30" s="2466"/>
      <c r="C30" s="1231">
        <v>666</v>
      </c>
      <c r="D30" s="1232">
        <v>6.3344112611755751E-2</v>
      </c>
      <c r="E30" s="937"/>
      <c r="F30" s="1212">
        <v>0</v>
      </c>
      <c r="G30" s="1212">
        <v>0</v>
      </c>
      <c r="H30" s="1212">
        <v>0</v>
      </c>
      <c r="I30" s="2292">
        <v>-9848</v>
      </c>
      <c r="J30" s="1330">
        <v>-25683</v>
      </c>
      <c r="K30" s="1330">
        <v>-18415</v>
      </c>
      <c r="L30" s="1330">
        <v>-9361</v>
      </c>
      <c r="M30" s="1331">
        <v>-10514</v>
      </c>
      <c r="N30" s="1237">
        <v>-18167</v>
      </c>
      <c r="O30" s="1330">
        <v>-7400</v>
      </c>
      <c r="P30" s="1330">
        <v>-10344</v>
      </c>
      <c r="Q30" s="1331">
        <v>-11368</v>
      </c>
      <c r="R30" s="1237">
        <v>-12448</v>
      </c>
      <c r="S30" s="1330">
        <v>-9125</v>
      </c>
      <c r="T30" s="1330">
        <v>-4487</v>
      </c>
      <c r="U30" s="1331">
        <v>-9610</v>
      </c>
      <c r="V30" s="1237">
        <v>-12816</v>
      </c>
      <c r="W30" s="1330">
        <v>-12271</v>
      </c>
      <c r="X30" s="1330">
        <v>-3056</v>
      </c>
      <c r="Y30" s="1331">
        <v>-9018</v>
      </c>
      <c r="Z30" s="1237">
        <v>-10252</v>
      </c>
      <c r="AA30" s="1330">
        <v>-12681</v>
      </c>
      <c r="AB30" s="1330">
        <v>-14421</v>
      </c>
      <c r="AC30" s="1286">
        <v>-11923</v>
      </c>
      <c r="AD30" s="1452">
        <v>-15352</v>
      </c>
      <c r="AE30" s="1452">
        <v>-14133</v>
      </c>
      <c r="AF30" s="1323">
        <v>-10678</v>
      </c>
      <c r="AG30" s="1453">
        <v>-13663</v>
      </c>
      <c r="AH30" s="1323">
        <v>-14840</v>
      </c>
      <c r="AI30" s="1452">
        <v>-15356</v>
      </c>
      <c r="AJ30" s="1323">
        <v>-11521</v>
      </c>
      <c r="AK30" s="1453">
        <v>-5387</v>
      </c>
      <c r="AL30" s="1452">
        <v>-12035</v>
      </c>
      <c r="AM30" s="1452">
        <v>-19233</v>
      </c>
      <c r="AN30" s="1452">
        <v>-8095</v>
      </c>
      <c r="AO30" s="1453">
        <v>-9414</v>
      </c>
      <c r="AP30" s="1530">
        <v>-9242</v>
      </c>
      <c r="AQ30" s="1286">
        <v>-10857</v>
      </c>
      <c r="AR30" s="1286">
        <v>-9191</v>
      </c>
      <c r="AS30" s="1315">
        <v>-8959</v>
      </c>
      <c r="AT30" s="1315">
        <v>-9637</v>
      </c>
      <c r="AU30" s="1315">
        <v>-11127</v>
      </c>
      <c r="AV30" s="1315">
        <v>-11360</v>
      </c>
      <c r="AW30" s="1315">
        <v>-11478</v>
      </c>
      <c r="AX30" s="1055"/>
      <c r="AY30" s="1375">
        <v>-63973</v>
      </c>
      <c r="AZ30" s="1456">
        <v>-47279</v>
      </c>
      <c r="BA30" s="1925">
        <v>-16694</v>
      </c>
      <c r="BB30" s="1232">
        <v>-0.35309545464159564</v>
      </c>
      <c r="BC30" s="1228"/>
      <c r="BD30" s="1375">
        <v>-63973</v>
      </c>
      <c r="BE30" s="1320">
        <v>-47279</v>
      </c>
      <c r="BF30" s="1320">
        <v>-35670</v>
      </c>
      <c r="BG30" s="1320">
        <v>-37161</v>
      </c>
      <c r="BH30" s="1320">
        <v>-49277</v>
      </c>
      <c r="BI30" s="1320">
        <v>-53826</v>
      </c>
      <c r="BJ30" s="1484">
        <v>-47104</v>
      </c>
      <c r="BK30" s="1484">
        <v>-48777</v>
      </c>
      <c r="BL30" s="1479">
        <v>-38249</v>
      </c>
      <c r="BM30" s="1479">
        <v>-43602</v>
      </c>
      <c r="BN30" s="1369" t="e">
        <f>BN14-BN29</f>
        <v>#REF!</v>
      </c>
      <c r="BO30" s="1369">
        <f>BO14-BO29</f>
        <v>-43835</v>
      </c>
      <c r="BP30" s="2069">
        <v>-52056</v>
      </c>
      <c r="BQ30" s="1251"/>
      <c r="BR30" s="2210"/>
      <c r="BS30" s="1402"/>
      <c r="BT30" s="1402"/>
      <c r="BU30" s="1402"/>
      <c r="BV30" s="1402"/>
    </row>
    <row r="31" spans="1:74" s="1211" customFormat="1" ht="13.5" thickTop="1" x14ac:dyDescent="0.2">
      <c r="A31" s="2275"/>
      <c r="B31" s="1423" t="s">
        <v>347</v>
      </c>
      <c r="C31" s="1231">
        <v>1905</v>
      </c>
      <c r="D31" s="1420">
        <v>0.20915678524374176</v>
      </c>
      <c r="E31" s="937"/>
      <c r="F31" s="1195"/>
      <c r="G31" s="1195"/>
      <c r="H31" s="1195"/>
      <c r="I31" s="2306">
        <v>-7203</v>
      </c>
      <c r="J31" s="1248">
        <v>-10816</v>
      </c>
      <c r="K31" s="1248">
        <v>-9132</v>
      </c>
      <c r="L31" s="1248">
        <v>-9885</v>
      </c>
      <c r="M31" s="1489">
        <v>-9108</v>
      </c>
      <c r="N31" s="1248">
        <v>-8708</v>
      </c>
      <c r="O31" s="1248">
        <v>-7427</v>
      </c>
      <c r="P31" s="1248">
        <v>-9367</v>
      </c>
      <c r="Q31" s="1489">
        <v>-8091</v>
      </c>
      <c r="R31" s="1497">
        <v>-8879</v>
      </c>
      <c r="S31" s="1248">
        <v>-8738</v>
      </c>
      <c r="T31" s="1248">
        <v>-6895</v>
      </c>
      <c r="U31" s="1489">
        <v>-8744</v>
      </c>
      <c r="V31" s="1248">
        <v>-10621</v>
      </c>
      <c r="W31" s="1248">
        <v>-11097</v>
      </c>
      <c r="X31" s="1248">
        <v>-11740</v>
      </c>
      <c r="Y31" s="1489">
        <v>-12339</v>
      </c>
      <c r="Z31" s="1248">
        <v>-13694</v>
      </c>
      <c r="AA31" s="1248">
        <v>-10891</v>
      </c>
      <c r="AB31" s="1248">
        <v>-11254</v>
      </c>
      <c r="AC31" s="1498">
        <v>-11765</v>
      </c>
      <c r="AD31" s="1478"/>
      <c r="AE31" s="1478"/>
      <c r="AF31" s="1478"/>
      <c r="AG31" s="1477"/>
      <c r="AH31" s="1478"/>
      <c r="AI31" s="1478"/>
      <c r="AJ31" s="1477"/>
      <c r="AK31" s="1477"/>
      <c r="AL31" s="1490"/>
      <c r="AM31" s="1490"/>
      <c r="AN31" s="1491"/>
      <c r="AO31" s="1491"/>
      <c r="AP31" s="1508"/>
      <c r="AQ31" s="1491"/>
      <c r="AR31" s="1491"/>
      <c r="AS31" s="1490"/>
      <c r="AT31" s="1490"/>
      <c r="AU31" s="1490"/>
      <c r="AV31" s="1490"/>
      <c r="AW31" s="1490"/>
      <c r="AX31" s="2070"/>
      <c r="AY31" s="1248">
        <v>-38941</v>
      </c>
      <c r="AZ31" s="1248">
        <v>-33593</v>
      </c>
      <c r="BA31" s="1248">
        <v>-5348</v>
      </c>
      <c r="BB31" s="1422">
        <v>-0.15919983329860388</v>
      </c>
      <c r="BC31" s="2109"/>
      <c r="BD31" s="1493">
        <v>-38941</v>
      </c>
      <c r="BE31" s="2148">
        <v>-33593</v>
      </c>
      <c r="BF31" s="2149">
        <v>-33256</v>
      </c>
      <c r="BG31" s="2149">
        <v>-45797</v>
      </c>
      <c r="BH31" s="2149">
        <v>-47604</v>
      </c>
      <c r="BI31" s="1498">
        <v>-47507</v>
      </c>
      <c r="BJ31" s="1745" t="e">
        <f>+#REF!+#REF!+#REF!</f>
        <v>#REF!</v>
      </c>
      <c r="BK31" s="1508" t="s">
        <v>177</v>
      </c>
      <c r="BL31" s="1508"/>
      <c r="BM31" s="1491"/>
      <c r="BN31" s="1499"/>
      <c r="BO31" s="1499"/>
      <c r="BP31" s="1026"/>
      <c r="BQ31" s="1226"/>
      <c r="BR31" s="2171"/>
      <c r="BS31" s="1402"/>
      <c r="BV31" s="1402"/>
    </row>
    <row r="32" spans="1:74" s="1211" customFormat="1" ht="13.5" thickBot="1" x14ac:dyDescent="0.25">
      <c r="A32" s="1239" t="s">
        <v>74</v>
      </c>
      <c r="B32" s="970"/>
      <c r="C32" s="1242">
        <v>-1239</v>
      </c>
      <c r="D32" s="1243">
        <v>-0.88122332859174968</v>
      </c>
      <c r="E32" s="937"/>
      <c r="F32" s="1409">
        <v>0</v>
      </c>
      <c r="G32" s="1409">
        <v>0</v>
      </c>
      <c r="H32" s="1409">
        <v>0</v>
      </c>
      <c r="I32" s="2311">
        <v>-2645</v>
      </c>
      <c r="J32" s="1510">
        <v>-14867</v>
      </c>
      <c r="K32" s="1510">
        <v>-9283</v>
      </c>
      <c r="L32" s="1510">
        <v>524</v>
      </c>
      <c r="M32" s="1514">
        <v>-1406</v>
      </c>
      <c r="N32" s="1510">
        <v>-9459</v>
      </c>
      <c r="O32" s="1510">
        <v>27</v>
      </c>
      <c r="P32" s="1510">
        <v>-977</v>
      </c>
      <c r="Q32" s="1514">
        <v>-3277</v>
      </c>
      <c r="R32" s="1510">
        <v>-3569</v>
      </c>
      <c r="S32" s="1510">
        <v>-387</v>
      </c>
      <c r="T32" s="1510">
        <v>2408</v>
      </c>
      <c r="U32" s="1514">
        <v>-866</v>
      </c>
      <c r="V32" s="1510">
        <v>-2195</v>
      </c>
      <c r="W32" s="1510">
        <v>-1174</v>
      </c>
      <c r="X32" s="1510">
        <v>8684</v>
      </c>
      <c r="Y32" s="1514">
        <v>3321</v>
      </c>
      <c r="Z32" s="1510">
        <v>3442</v>
      </c>
      <c r="AA32" s="1510">
        <v>-1790</v>
      </c>
      <c r="AB32" s="1510">
        <v>-3167</v>
      </c>
      <c r="AC32" s="1513">
        <v>-158</v>
      </c>
      <c r="AD32" s="1512" t="e">
        <v>#REF!</v>
      </c>
      <c r="AE32" s="1512" t="e">
        <v>#REF!</v>
      </c>
      <c r="AF32" s="1512" t="e">
        <v>#REF!</v>
      </c>
      <c r="AG32" s="1513" t="e">
        <v>#REF!</v>
      </c>
      <c r="AH32" s="1512">
        <v>-2915</v>
      </c>
      <c r="AI32" s="1512">
        <v>-3212</v>
      </c>
      <c r="AJ32" s="1513">
        <v>-1111</v>
      </c>
      <c r="AK32" s="1513">
        <v>5489</v>
      </c>
      <c r="AL32" s="1515" t="s">
        <v>177</v>
      </c>
      <c r="AM32" s="1515" t="s">
        <v>177</v>
      </c>
      <c r="AN32" s="1516" t="s">
        <v>177</v>
      </c>
      <c r="AO32" s="1516" t="s">
        <v>177</v>
      </c>
      <c r="AP32" s="2072" t="s">
        <v>177</v>
      </c>
      <c r="AQ32" s="1491"/>
      <c r="AR32" s="1491"/>
      <c r="AS32" s="1490"/>
      <c r="AT32" s="1490"/>
      <c r="AU32" s="1490"/>
      <c r="AV32" s="1490"/>
      <c r="AW32" s="1490"/>
      <c r="AX32" s="2070"/>
      <c r="AY32" s="1510">
        <v>-25032</v>
      </c>
      <c r="AZ32" s="1510">
        <v>-13686</v>
      </c>
      <c r="BA32" s="1510">
        <v>-11346</v>
      </c>
      <c r="BB32" s="1243">
        <v>-0.82902235861464268</v>
      </c>
      <c r="BC32" s="2109"/>
      <c r="BD32" s="1510">
        <v>-25032</v>
      </c>
      <c r="BE32" s="1518">
        <v>-13686</v>
      </c>
      <c r="BF32" s="1514">
        <v>-2414</v>
      </c>
      <c r="BG32" s="1513">
        <v>8636</v>
      </c>
      <c r="BH32" s="1514">
        <v>-1673</v>
      </c>
      <c r="BI32" s="1514">
        <v>-6319</v>
      </c>
      <c r="BJ32" s="1518">
        <v>-1749</v>
      </c>
      <c r="BK32" s="2072" t="s">
        <v>177</v>
      </c>
      <c r="BL32" s="2072" t="s">
        <v>177</v>
      </c>
      <c r="BM32" s="1516" t="s">
        <v>177</v>
      </c>
      <c r="BN32" s="1520" t="s">
        <v>177</v>
      </c>
      <c r="BO32" s="1520" t="s">
        <v>177</v>
      </c>
      <c r="BP32" s="1026"/>
      <c r="BQ32" s="1226"/>
      <c r="BR32" s="2171"/>
      <c r="BS32" s="1402"/>
      <c r="BV32" s="1402"/>
    </row>
    <row r="33" spans="1:74" ht="12.75" customHeight="1" thickTop="1" x14ac:dyDescent="0.2">
      <c r="A33" s="1246" t="s">
        <v>88</v>
      </c>
      <c r="B33" s="1247"/>
      <c r="C33" s="1025">
        <v>-42</v>
      </c>
      <c r="D33" s="975">
        <v>-0.13166144200626959</v>
      </c>
      <c r="E33" s="926"/>
      <c r="F33" s="931">
        <v>0</v>
      </c>
      <c r="G33" s="931">
        <v>0</v>
      </c>
      <c r="H33" s="931">
        <v>0</v>
      </c>
      <c r="I33" s="931">
        <v>277</v>
      </c>
      <c r="J33" s="1025">
        <v>288</v>
      </c>
      <c r="K33" s="1025">
        <v>326</v>
      </c>
      <c r="L33" s="1025">
        <v>322</v>
      </c>
      <c r="M33" s="1025">
        <v>319</v>
      </c>
      <c r="N33" s="1025">
        <v>324</v>
      </c>
      <c r="O33" s="1025">
        <v>316</v>
      </c>
      <c r="P33" s="1025">
        <v>315</v>
      </c>
      <c r="Q33" s="1025">
        <v>320</v>
      </c>
      <c r="R33" s="1025">
        <v>316</v>
      </c>
      <c r="S33" s="1025">
        <v>319</v>
      </c>
      <c r="T33" s="1025">
        <v>320</v>
      </c>
      <c r="U33" s="1025">
        <v>323</v>
      </c>
      <c r="V33" s="1025">
        <v>332</v>
      </c>
      <c r="W33" s="1025">
        <v>332</v>
      </c>
      <c r="X33" s="1025">
        <v>343</v>
      </c>
      <c r="Y33" s="1025">
        <v>376</v>
      </c>
      <c r="Z33" s="1025">
        <v>378</v>
      </c>
      <c r="AA33" s="1025">
        <v>386</v>
      </c>
      <c r="AB33" s="1025">
        <v>384</v>
      </c>
      <c r="AC33" s="1025">
        <v>382</v>
      </c>
      <c r="AD33" s="1025">
        <v>373</v>
      </c>
      <c r="AE33" s="1025">
        <v>365</v>
      </c>
      <c r="AF33" s="1025">
        <v>369</v>
      </c>
      <c r="AG33" s="1025">
        <v>371</v>
      </c>
      <c r="AH33" s="1025">
        <v>364</v>
      </c>
      <c r="AI33" s="1025">
        <v>360</v>
      </c>
      <c r="AJ33" s="1025">
        <v>359</v>
      </c>
      <c r="AK33" s="1025">
        <v>352</v>
      </c>
      <c r="AL33" s="1025">
        <v>356</v>
      </c>
      <c r="AM33" s="1025">
        <v>365</v>
      </c>
      <c r="AN33" s="1025">
        <v>393</v>
      </c>
      <c r="AO33" s="1025">
        <v>393</v>
      </c>
      <c r="AP33" s="1025">
        <v>380</v>
      </c>
      <c r="AQ33" s="1025">
        <v>373</v>
      </c>
      <c r="AR33" s="1025">
        <v>370</v>
      </c>
      <c r="AS33" s="1025">
        <v>366</v>
      </c>
      <c r="AT33" s="1025">
        <v>360</v>
      </c>
      <c r="AU33" s="1025">
        <v>348</v>
      </c>
      <c r="AV33" s="1025">
        <v>349</v>
      </c>
      <c r="AW33" s="1025">
        <v>343</v>
      </c>
      <c r="AX33" s="969"/>
      <c r="AY33" s="1025">
        <v>288</v>
      </c>
      <c r="AZ33" s="1025">
        <v>324</v>
      </c>
      <c r="BA33" s="1025">
        <v>-36</v>
      </c>
      <c r="BB33" s="975">
        <v>-0.1111111111111111</v>
      </c>
      <c r="BC33" s="1251"/>
      <c r="BD33" s="1025">
        <v>288</v>
      </c>
      <c r="BE33" s="1025">
        <v>324</v>
      </c>
      <c r="BF33" s="1025">
        <v>316</v>
      </c>
      <c r="BG33" s="1025">
        <v>332</v>
      </c>
      <c r="BH33" s="1025">
        <v>378</v>
      </c>
      <c r="BI33" s="1025">
        <v>373</v>
      </c>
      <c r="BJ33" s="1025">
        <v>364</v>
      </c>
      <c r="BK33" s="1025">
        <v>356</v>
      </c>
      <c r="BL33" s="1025">
        <v>380</v>
      </c>
      <c r="BM33" s="1025">
        <v>360</v>
      </c>
      <c r="BN33" s="1026">
        <v>335</v>
      </c>
      <c r="BO33" s="1026">
        <v>324</v>
      </c>
      <c r="BP33" s="1026">
        <v>296</v>
      </c>
      <c r="BQ33" s="1226"/>
      <c r="BR33" s="1226"/>
      <c r="BS33" s="1181"/>
      <c r="BV33" s="1181"/>
    </row>
    <row r="34" spans="1:74" ht="12.75" customHeight="1" x14ac:dyDescent="0.2">
      <c r="A34" s="969"/>
      <c r="B34" s="969"/>
      <c r="C34" s="969"/>
      <c r="D34" s="969"/>
      <c r="E34" s="1188"/>
      <c r="F34" s="1188"/>
      <c r="G34" s="1188"/>
      <c r="H34" s="1188"/>
      <c r="I34" s="918"/>
      <c r="J34" s="1251"/>
      <c r="K34" s="1251"/>
      <c r="L34" s="1251"/>
      <c r="M34" s="969"/>
      <c r="N34" s="1251"/>
      <c r="O34" s="1251"/>
      <c r="P34" s="1251"/>
      <c r="Q34" s="969"/>
      <c r="R34" s="1251"/>
      <c r="S34" s="1251"/>
      <c r="T34" s="1251"/>
      <c r="U34" s="969"/>
      <c r="V34" s="1251"/>
      <c r="W34" s="1251"/>
      <c r="X34" s="1251"/>
      <c r="Y34" s="969"/>
      <c r="Z34" s="1251"/>
      <c r="AA34" s="1251"/>
      <c r="AB34" s="1251"/>
      <c r="AC34" s="969"/>
      <c r="AD34" s="1251"/>
      <c r="AE34" s="1251"/>
      <c r="AF34" s="1251"/>
      <c r="AG34" s="969"/>
      <c r="AH34" s="1251"/>
      <c r="AI34" s="1251"/>
      <c r="AJ34" s="1251"/>
      <c r="AK34" s="969"/>
      <c r="AL34" s="1251"/>
      <c r="AM34" s="1251"/>
      <c r="AN34" s="1251"/>
      <c r="AO34" s="969"/>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307"/>
      <c r="BO34" s="1307"/>
      <c r="BP34" s="1307"/>
      <c r="BQ34" s="1226"/>
      <c r="BR34" s="1226"/>
      <c r="BS34" s="1181"/>
      <c r="BV34" s="1181"/>
    </row>
    <row r="35" spans="1:74" ht="18" customHeight="1" x14ac:dyDescent="0.2">
      <c r="A35" s="1428" t="s">
        <v>252</v>
      </c>
      <c r="B35" s="969"/>
      <c r="C35" s="1244"/>
      <c r="D35" s="1244"/>
      <c r="E35" s="1188"/>
      <c r="F35" s="1188"/>
      <c r="G35" s="1188"/>
      <c r="H35" s="1188"/>
      <c r="I35" s="1188"/>
      <c r="J35" s="1251"/>
      <c r="K35" s="1251"/>
      <c r="L35" s="1251"/>
      <c r="M35" s="1251"/>
      <c r="N35" s="1251"/>
      <c r="O35" s="1251"/>
      <c r="P35" s="1251"/>
      <c r="Q35" s="1251"/>
      <c r="R35" s="1251"/>
      <c r="S35" s="1251"/>
      <c r="T35" s="1251"/>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35"/>
      <c r="AS35" s="1235"/>
      <c r="AT35" s="1235"/>
      <c r="AU35" s="1235"/>
      <c r="AV35" s="1235"/>
      <c r="AW35" s="1235"/>
      <c r="AX35" s="1251"/>
      <c r="AY35" s="1251"/>
      <c r="AZ35" s="1251"/>
      <c r="BA35" s="1251"/>
      <c r="BB35" s="1251"/>
      <c r="BC35" s="1235"/>
      <c r="BD35" s="2150"/>
      <c r="BE35" s="2150"/>
      <c r="BF35" s="2150"/>
      <c r="BG35" s="1235"/>
      <c r="BH35" s="1235"/>
      <c r="BI35" s="1235"/>
      <c r="BJ35" s="1235"/>
      <c r="BK35" s="1235"/>
      <c r="BL35" s="1235"/>
      <c r="BM35" s="1235"/>
      <c r="BN35" s="1349"/>
      <c r="BO35" s="1349"/>
      <c r="BP35" s="1349"/>
      <c r="BQ35" s="1226"/>
      <c r="BR35" s="1226"/>
      <c r="BS35" s="1181"/>
      <c r="BV35" s="1181"/>
    </row>
    <row r="36" spans="1:74" ht="12.75" customHeight="1" x14ac:dyDescent="0.2">
      <c r="A36" s="1429"/>
      <c r="B36" s="969"/>
      <c r="C36" s="1244"/>
      <c r="D36" s="1244"/>
      <c r="E36" s="1188"/>
      <c r="F36" s="1188"/>
      <c r="G36" s="1188"/>
      <c r="H36" s="1188"/>
      <c r="I36" s="1188"/>
      <c r="J36" s="1251"/>
      <c r="K36" s="1251"/>
      <c r="L36" s="1251"/>
      <c r="M36" s="1251"/>
      <c r="N36" s="1251"/>
      <c r="O36" s="1251"/>
      <c r="P36" s="1251"/>
      <c r="Q36" s="1251"/>
      <c r="R36" s="1251"/>
      <c r="S36" s="1251"/>
      <c r="T36" s="1251"/>
      <c r="U36" s="1251"/>
      <c r="V36" s="1251"/>
      <c r="W36" s="1251"/>
      <c r="X36" s="1251"/>
      <c r="Y36" s="1251"/>
      <c r="Z36" s="1525"/>
      <c r="AA36" s="1251"/>
      <c r="AB36" s="1251"/>
      <c r="AC36" s="1251"/>
      <c r="AD36" s="1525"/>
      <c r="AE36" s="1251"/>
      <c r="AF36" s="1525"/>
      <c r="AG36" s="1251"/>
      <c r="AH36" s="1525"/>
      <c r="AI36" s="1251"/>
      <c r="AJ36" s="1525"/>
      <c r="AK36" s="1251"/>
      <c r="AL36" s="1525"/>
      <c r="AM36" s="1251"/>
      <c r="AN36" s="1251"/>
      <c r="AO36" s="1251"/>
      <c r="AP36" s="1251"/>
      <c r="AQ36" s="1251"/>
      <c r="AR36" s="1235"/>
      <c r="AS36" s="1235"/>
      <c r="AT36" s="1235"/>
      <c r="AU36" s="1235"/>
      <c r="AV36" s="1235"/>
      <c r="AW36" s="1235"/>
      <c r="AX36" s="1251"/>
      <c r="AY36" s="1525"/>
      <c r="AZ36" s="1251"/>
      <c r="BA36" s="1251"/>
      <c r="BB36" s="1251"/>
      <c r="BC36" s="1235"/>
      <c r="BD36" s="1235"/>
      <c r="BE36" s="1235"/>
      <c r="BF36" s="1235"/>
      <c r="BG36" s="1235"/>
      <c r="BH36" s="1235"/>
      <c r="BI36" s="1235"/>
      <c r="BJ36" s="1235"/>
      <c r="BK36" s="1235"/>
      <c r="BL36" s="1235"/>
      <c r="BM36" s="1235"/>
      <c r="BN36" s="1349"/>
      <c r="BO36" s="1349"/>
      <c r="BP36" s="1349"/>
      <c r="BQ36" s="1226"/>
      <c r="BR36" s="1226"/>
      <c r="BS36" s="1181"/>
      <c r="BV36" s="1181"/>
    </row>
    <row r="37" spans="1:74" ht="12.75" customHeight="1" x14ac:dyDescent="0.2">
      <c r="A37" s="968"/>
      <c r="B37" s="2011"/>
      <c r="C37" s="2455" t="s">
        <v>456</v>
      </c>
      <c r="D37" s="2456"/>
      <c r="E37" s="919"/>
      <c r="F37" s="921"/>
      <c r="G37" s="921"/>
      <c r="H37" s="921"/>
      <c r="I37" s="2280"/>
      <c r="J37" s="1000"/>
      <c r="K37" s="1000"/>
      <c r="L37" s="1000"/>
      <c r="M37" s="1261"/>
      <c r="N37" s="1000"/>
      <c r="O37" s="1000"/>
      <c r="P37" s="1000"/>
      <c r="Q37" s="1261"/>
      <c r="R37" s="1000"/>
      <c r="S37" s="1000"/>
      <c r="T37" s="1000"/>
      <c r="U37" s="1261"/>
      <c r="V37" s="1000"/>
      <c r="W37" s="1000"/>
      <c r="X37" s="1000"/>
      <c r="Y37" s="1261"/>
      <c r="Z37" s="1262"/>
      <c r="AA37" s="1263"/>
      <c r="AB37" s="1000"/>
      <c r="AC37" s="1261"/>
      <c r="AD37" s="1262"/>
      <c r="AE37" s="1263"/>
      <c r="AF37" s="1000"/>
      <c r="AG37" s="1261"/>
      <c r="AI37" s="1263"/>
      <c r="AJ37" s="964"/>
      <c r="AK37" s="1261"/>
      <c r="AL37" s="1263"/>
      <c r="AN37" s="1000"/>
      <c r="AO37" s="1261"/>
      <c r="AP37" s="1263"/>
      <c r="AQ37" s="1263"/>
      <c r="AR37" s="1263"/>
      <c r="AS37" s="1263"/>
      <c r="AT37" s="1264"/>
      <c r="AU37" s="1261"/>
      <c r="AV37" s="1261"/>
      <c r="AW37" s="1261"/>
      <c r="AX37" s="1265"/>
      <c r="AY37" s="1006" t="s">
        <v>448</v>
      </c>
      <c r="AZ37" s="1006"/>
      <c r="BA37" s="1006" t="s">
        <v>441</v>
      </c>
      <c r="BB37" s="1007"/>
      <c r="BC37" s="1008"/>
      <c r="BD37" s="1009"/>
      <c r="BE37" s="1009"/>
      <c r="BF37" s="1009"/>
      <c r="BG37" s="1009"/>
      <c r="BH37" s="1009"/>
      <c r="BI37" s="1009"/>
      <c r="BJ37" s="1009"/>
      <c r="BK37" s="1009"/>
      <c r="BL37" s="1526"/>
      <c r="BM37" s="1527"/>
      <c r="BN37" s="1009"/>
      <c r="BO37" s="1009"/>
      <c r="BP37" s="1009"/>
      <c r="BQ37" s="1266"/>
      <c r="BR37" s="1226"/>
      <c r="BS37" s="1181"/>
      <c r="BV37" s="1181"/>
    </row>
    <row r="38" spans="1:74" ht="12.75" customHeight="1" x14ac:dyDescent="0.2">
      <c r="A38" s="968" t="s">
        <v>2</v>
      </c>
      <c r="B38" s="969"/>
      <c r="C38" s="2457" t="s">
        <v>39</v>
      </c>
      <c r="D38" s="2458"/>
      <c r="E38" s="924"/>
      <c r="F38" s="925" t="s">
        <v>452</v>
      </c>
      <c r="G38" s="925" t="s">
        <v>453</v>
      </c>
      <c r="H38" s="925" t="s">
        <v>454</v>
      </c>
      <c r="I38" s="2281" t="s">
        <v>455</v>
      </c>
      <c r="J38" s="1010" t="s">
        <v>399</v>
      </c>
      <c r="K38" s="1010" t="s">
        <v>398</v>
      </c>
      <c r="L38" s="1010" t="s">
        <v>397</v>
      </c>
      <c r="M38" s="1011" t="s">
        <v>395</v>
      </c>
      <c r="N38" s="1010" t="s">
        <v>373</v>
      </c>
      <c r="O38" s="1010" t="s">
        <v>374</v>
      </c>
      <c r="P38" s="1010" t="s">
        <v>375</v>
      </c>
      <c r="Q38" s="1011" t="s">
        <v>376</v>
      </c>
      <c r="R38" s="1010" t="s">
        <v>330</v>
      </c>
      <c r="S38" s="1010" t="s">
        <v>329</v>
      </c>
      <c r="T38" s="1010" t="s">
        <v>328</v>
      </c>
      <c r="U38" s="1011" t="s">
        <v>326</v>
      </c>
      <c r="V38" s="1010" t="s">
        <v>282</v>
      </c>
      <c r="W38" s="1010" t="s">
        <v>283</v>
      </c>
      <c r="X38" s="1010" t="s">
        <v>284</v>
      </c>
      <c r="Y38" s="1011" t="s">
        <v>285</v>
      </c>
      <c r="Z38" s="1012" t="s">
        <v>220</v>
      </c>
      <c r="AA38" s="1010" t="s">
        <v>221</v>
      </c>
      <c r="AB38" s="1010" t="s">
        <v>222</v>
      </c>
      <c r="AC38" s="1011" t="s">
        <v>219</v>
      </c>
      <c r="AD38" s="1012" t="s">
        <v>185</v>
      </c>
      <c r="AE38" s="1010" t="s">
        <v>186</v>
      </c>
      <c r="AF38" s="1010" t="s">
        <v>187</v>
      </c>
      <c r="AG38" s="1011" t="s">
        <v>188</v>
      </c>
      <c r="AH38" s="1010" t="s">
        <v>118</v>
      </c>
      <c r="AI38" s="1010" t="s">
        <v>117</v>
      </c>
      <c r="AJ38" s="1010" t="s">
        <v>116</v>
      </c>
      <c r="AK38" s="1011" t="s">
        <v>115</v>
      </c>
      <c r="AL38" s="1010" t="s">
        <v>83</v>
      </c>
      <c r="AM38" s="1010" t="s">
        <v>84</v>
      </c>
      <c r="AN38" s="1010" t="s">
        <v>85</v>
      </c>
      <c r="AO38" s="1011" t="s">
        <v>30</v>
      </c>
      <c r="AP38" s="1010" t="s">
        <v>31</v>
      </c>
      <c r="AQ38" s="1010" t="s">
        <v>32</v>
      </c>
      <c r="AR38" s="1010" t="s">
        <v>33</v>
      </c>
      <c r="AS38" s="1010" t="s">
        <v>34</v>
      </c>
      <c r="AT38" s="1013" t="s">
        <v>35</v>
      </c>
      <c r="AU38" s="1011" t="s">
        <v>36</v>
      </c>
      <c r="AV38" s="1011" t="s">
        <v>37</v>
      </c>
      <c r="AW38" s="1011" t="s">
        <v>38</v>
      </c>
      <c r="AX38" s="1014"/>
      <c r="AY38" s="1010" t="s">
        <v>399</v>
      </c>
      <c r="AZ38" s="1010" t="s">
        <v>373</v>
      </c>
      <c r="BA38" s="2485" t="s">
        <v>39</v>
      </c>
      <c r="BB38" s="2458"/>
      <c r="BC38" s="1362"/>
      <c r="BD38" s="1012" t="s">
        <v>438</v>
      </c>
      <c r="BE38" s="1012" t="s">
        <v>385</v>
      </c>
      <c r="BF38" s="1012" t="s">
        <v>332</v>
      </c>
      <c r="BG38" s="1012" t="s">
        <v>287</v>
      </c>
      <c r="BH38" s="1012" t="s">
        <v>224</v>
      </c>
      <c r="BI38" s="1012" t="s">
        <v>120</v>
      </c>
      <c r="BJ38" s="1012" t="s">
        <v>119</v>
      </c>
      <c r="BK38" s="1012" t="s">
        <v>43</v>
      </c>
      <c r="BL38" s="1012" t="s">
        <v>40</v>
      </c>
      <c r="BM38" s="1013" t="s">
        <v>41</v>
      </c>
      <c r="BN38" s="1013" t="s">
        <v>138</v>
      </c>
      <c r="BO38" s="1013" t="s">
        <v>139</v>
      </c>
      <c r="BP38" s="1013" t="s">
        <v>140</v>
      </c>
      <c r="BQ38" s="1266"/>
      <c r="BR38" s="1226"/>
      <c r="BS38" s="1181"/>
      <c r="BV38" s="1181"/>
    </row>
    <row r="39" spans="1:74" ht="12.75" customHeight="1" x14ac:dyDescent="0.2">
      <c r="A39" s="1250"/>
      <c r="B39" s="1251" t="s">
        <v>4</v>
      </c>
      <c r="C39" s="1432">
        <v>-1274</v>
      </c>
      <c r="D39" s="1056">
        <v>-0.30802707930367507</v>
      </c>
      <c r="E39" s="1187"/>
      <c r="F39" s="1196">
        <v>0</v>
      </c>
      <c r="G39" s="1196">
        <v>0</v>
      </c>
      <c r="H39" s="1196">
        <v>0</v>
      </c>
      <c r="I39" s="2288">
        <v>2862</v>
      </c>
      <c r="J39" s="1294">
        <v>1899</v>
      </c>
      <c r="K39" s="1294">
        <v>-964</v>
      </c>
      <c r="L39" s="1294">
        <v>3897</v>
      </c>
      <c r="M39" s="1296">
        <v>4136</v>
      </c>
      <c r="N39" s="1294">
        <v>4335</v>
      </c>
      <c r="O39" s="1294">
        <v>4373</v>
      </c>
      <c r="P39" s="1294">
        <v>4233</v>
      </c>
      <c r="Q39" s="1296">
        <v>3827</v>
      </c>
      <c r="R39" s="1280">
        <v>1853</v>
      </c>
      <c r="S39" s="1280">
        <v>4988</v>
      </c>
      <c r="T39" s="1294">
        <v>6372</v>
      </c>
      <c r="U39" s="1296">
        <v>2205</v>
      </c>
      <c r="V39" s="1294">
        <v>5045</v>
      </c>
      <c r="W39" s="1294">
        <v>4535</v>
      </c>
      <c r="X39" s="1294">
        <v>10003</v>
      </c>
      <c r="Y39" s="1296">
        <v>4894</v>
      </c>
      <c r="Z39" s="1294">
        <v>10101</v>
      </c>
      <c r="AA39" s="1294">
        <v>9737</v>
      </c>
      <c r="AB39" s="1294">
        <v>2636</v>
      </c>
      <c r="AC39" s="1296">
        <v>7623</v>
      </c>
      <c r="AD39" s="1294">
        <v>11120</v>
      </c>
      <c r="AE39" s="1294">
        <v>8477</v>
      </c>
      <c r="AF39" s="1294">
        <v>7783</v>
      </c>
      <c r="AG39" s="1296">
        <v>4558</v>
      </c>
      <c r="AH39" s="1294">
        <v>4647</v>
      </c>
      <c r="AI39" s="1294">
        <v>5374</v>
      </c>
      <c r="AJ39" s="1296">
        <v>5131</v>
      </c>
      <c r="AK39" s="1296">
        <v>11781</v>
      </c>
      <c r="AL39" s="1537">
        <v>4769</v>
      </c>
      <c r="AM39" s="1294">
        <v>4406</v>
      </c>
      <c r="AN39" s="1294">
        <v>8649</v>
      </c>
      <c r="AO39" s="1296">
        <v>10062</v>
      </c>
      <c r="AP39" s="1488">
        <v>11018</v>
      </c>
      <c r="AQ39" s="1488">
        <v>12605</v>
      </c>
      <c r="AR39" s="1488">
        <v>12383</v>
      </c>
      <c r="AS39" s="1502">
        <v>14764</v>
      </c>
      <c r="AT39" s="1472">
        <v>10416</v>
      </c>
      <c r="AU39" s="1502">
        <v>8055</v>
      </c>
      <c r="AV39" s="1502">
        <v>7372</v>
      </c>
      <c r="AW39" s="1502">
        <v>8735</v>
      </c>
      <c r="AX39" s="1297"/>
      <c r="AY39" s="1248">
        <v>8968</v>
      </c>
      <c r="AZ39" s="1248">
        <v>16768</v>
      </c>
      <c r="BA39" s="1367">
        <v>-7800</v>
      </c>
      <c r="BB39" s="1368">
        <v>-0.46517175572519082</v>
      </c>
      <c r="BC39" s="1235"/>
      <c r="BD39" s="1504">
        <v>8968</v>
      </c>
      <c r="BE39" s="1279">
        <v>16768</v>
      </c>
      <c r="BF39" s="1279">
        <v>15418</v>
      </c>
      <c r="BG39" s="1279">
        <v>24477</v>
      </c>
      <c r="BH39" s="1279">
        <v>30097</v>
      </c>
      <c r="BI39" s="1297">
        <v>31938</v>
      </c>
      <c r="BJ39" s="1297">
        <v>26933</v>
      </c>
      <c r="BK39" s="1297">
        <v>27886</v>
      </c>
      <c r="BL39" s="1447">
        <v>50770</v>
      </c>
      <c r="BM39" s="1447">
        <v>34578</v>
      </c>
      <c r="BN39" s="2037">
        <v>24555</v>
      </c>
      <c r="BO39" s="2037">
        <v>14948</v>
      </c>
      <c r="BP39" s="2037">
        <v>14416</v>
      </c>
      <c r="BQ39" s="1226"/>
      <c r="BR39" s="1226"/>
      <c r="BS39" s="1181"/>
      <c r="BV39" s="1181"/>
    </row>
    <row r="40" spans="1:74" ht="12.75" customHeight="1" x14ac:dyDescent="0.2">
      <c r="A40" s="1235"/>
      <c r="B40" s="1251" t="s">
        <v>82</v>
      </c>
      <c r="C40" s="1252">
        <v>-1940</v>
      </c>
      <c r="D40" s="1371">
        <v>-0.13242320819112627</v>
      </c>
      <c r="E40" s="949"/>
      <c r="F40" s="1209">
        <v>0</v>
      </c>
      <c r="G40" s="1209">
        <v>0</v>
      </c>
      <c r="H40" s="1209">
        <v>0</v>
      </c>
      <c r="I40" s="2288">
        <v>12710</v>
      </c>
      <c r="J40" s="1322">
        <v>16096</v>
      </c>
      <c r="K40" s="1322">
        <v>16151</v>
      </c>
      <c r="L40" s="1322">
        <v>13258</v>
      </c>
      <c r="M40" s="1296">
        <v>14650</v>
      </c>
      <c r="N40" s="1322">
        <v>15869</v>
      </c>
      <c r="O40" s="1322">
        <v>11773</v>
      </c>
      <c r="P40" s="1322">
        <v>14577</v>
      </c>
      <c r="Q40" s="1296">
        <v>13595</v>
      </c>
      <c r="R40" s="1310">
        <v>14301</v>
      </c>
      <c r="S40" s="1310">
        <v>14113</v>
      </c>
      <c r="T40" s="1322">
        <v>10859</v>
      </c>
      <c r="U40" s="1296">
        <v>11815</v>
      </c>
      <c r="V40" s="1322">
        <v>17861</v>
      </c>
      <c r="W40" s="1322">
        <v>16806</v>
      </c>
      <c r="X40" s="1322">
        <v>12159</v>
      </c>
      <c r="Y40" s="1296">
        <v>13912</v>
      </c>
      <c r="Z40" s="1322">
        <v>20078</v>
      </c>
      <c r="AA40" s="1322">
        <v>17418</v>
      </c>
      <c r="AB40" s="1322">
        <v>15544</v>
      </c>
      <c r="AC40" s="1296">
        <v>19546</v>
      </c>
      <c r="AD40" s="1322">
        <v>26472</v>
      </c>
      <c r="AE40" s="1322">
        <v>22610</v>
      </c>
      <c r="AF40" s="1322">
        <v>18461</v>
      </c>
      <c r="AG40" s="1296">
        <v>18221</v>
      </c>
      <c r="AH40" s="1322">
        <v>19487</v>
      </c>
      <c r="AI40" s="1322">
        <v>20730</v>
      </c>
      <c r="AJ40" s="1293">
        <v>16652</v>
      </c>
      <c r="AK40" s="1296">
        <v>17168</v>
      </c>
      <c r="AL40" s="1322">
        <v>16684</v>
      </c>
      <c r="AM40" s="1322">
        <v>15548</v>
      </c>
      <c r="AN40" s="1322">
        <v>16744</v>
      </c>
      <c r="AO40" s="1296">
        <v>19476</v>
      </c>
      <c r="AP40" s="1248">
        <v>14771</v>
      </c>
      <c r="AQ40" s="1248">
        <v>20337</v>
      </c>
      <c r="AR40" s="1248">
        <v>18321</v>
      </c>
      <c r="AS40" s="1489">
        <v>23723</v>
      </c>
      <c r="AT40" s="1493">
        <v>20053</v>
      </c>
      <c r="AU40" s="1489">
        <v>19182</v>
      </c>
      <c r="AV40" s="1489">
        <v>18732</v>
      </c>
      <c r="AW40" s="1489">
        <v>20213</v>
      </c>
      <c r="AX40" s="1297"/>
      <c r="AY40" s="1248">
        <v>60155</v>
      </c>
      <c r="AZ40" s="1248">
        <v>55814</v>
      </c>
      <c r="BA40" s="1026">
        <v>4341</v>
      </c>
      <c r="BB40" s="1371">
        <v>7.7776185186512345E-2</v>
      </c>
      <c r="BC40" s="1235"/>
      <c r="BD40" s="1447">
        <v>60155</v>
      </c>
      <c r="BE40" s="1279">
        <v>55814</v>
      </c>
      <c r="BF40" s="1279">
        <v>51088</v>
      </c>
      <c r="BG40" s="1279">
        <v>60738</v>
      </c>
      <c r="BH40" s="1279">
        <v>72586</v>
      </c>
      <c r="BI40" s="1297">
        <v>85764</v>
      </c>
      <c r="BJ40" s="1297">
        <v>74037</v>
      </c>
      <c r="BK40" s="1297">
        <v>68452</v>
      </c>
      <c r="BL40" s="1447">
        <v>77152</v>
      </c>
      <c r="BM40" s="1447">
        <v>78180</v>
      </c>
      <c r="BN40" s="1054">
        <v>68726</v>
      </c>
      <c r="BO40" s="1054">
        <v>58783</v>
      </c>
      <c r="BP40" s="1054">
        <v>66472</v>
      </c>
      <c r="BQ40" s="1226"/>
      <c r="BR40" s="1226"/>
      <c r="BS40" s="1181"/>
      <c r="BV40" s="1181"/>
    </row>
    <row r="41" spans="1:74" ht="24" x14ac:dyDescent="0.2">
      <c r="A41" s="1235"/>
      <c r="B41" s="1423" t="s">
        <v>195</v>
      </c>
      <c r="C41" s="1252">
        <v>666</v>
      </c>
      <c r="D41" s="1371">
        <v>6.3344112611755751E-2</v>
      </c>
      <c r="E41" s="949"/>
      <c r="F41" s="1209">
        <v>0</v>
      </c>
      <c r="G41" s="1209">
        <v>0</v>
      </c>
      <c r="H41" s="1209">
        <v>0</v>
      </c>
      <c r="I41" s="2288">
        <v>-9848</v>
      </c>
      <c r="J41" s="1322">
        <v>-14197</v>
      </c>
      <c r="K41" s="1322">
        <v>-17115</v>
      </c>
      <c r="L41" s="1322">
        <v>-9361</v>
      </c>
      <c r="M41" s="1296">
        <v>-10514</v>
      </c>
      <c r="N41" s="1322">
        <v>-11534</v>
      </c>
      <c r="O41" s="1322">
        <v>-7400</v>
      </c>
      <c r="P41" s="1322">
        <v>-10344</v>
      </c>
      <c r="Q41" s="1296">
        <v>-9768</v>
      </c>
      <c r="R41" s="1322">
        <v>-12448</v>
      </c>
      <c r="S41" s="1322">
        <v>-9125</v>
      </c>
      <c r="T41" s="1322">
        <v>-4487</v>
      </c>
      <c r="U41" s="1296">
        <v>-9610</v>
      </c>
      <c r="V41" s="1322">
        <v>-12816</v>
      </c>
      <c r="W41" s="1322">
        <v>-12271</v>
      </c>
      <c r="X41" s="1322">
        <v>-2156</v>
      </c>
      <c r="Y41" s="1296">
        <v>-9018</v>
      </c>
      <c r="Z41" s="1322">
        <v>-9977</v>
      </c>
      <c r="AA41" s="1322">
        <v>-7681</v>
      </c>
      <c r="AB41" s="1322">
        <v>-12908</v>
      </c>
      <c r="AC41" s="1296">
        <v>-11923</v>
      </c>
      <c r="AD41" s="1322">
        <v>-15352</v>
      </c>
      <c r="AE41" s="1322">
        <v>-14133</v>
      </c>
      <c r="AF41" s="1322">
        <v>-10678</v>
      </c>
      <c r="AG41" s="1296">
        <v>-13663</v>
      </c>
      <c r="AH41" s="1322">
        <v>-14840</v>
      </c>
      <c r="AI41" s="1322">
        <v>-15356</v>
      </c>
      <c r="AJ41" s="1293">
        <v>-11521</v>
      </c>
      <c r="AK41" s="1296">
        <v>-5387</v>
      </c>
      <c r="AL41" s="1322">
        <v>-11915</v>
      </c>
      <c r="AM41" s="1322">
        <v>-11142</v>
      </c>
      <c r="AN41" s="1322">
        <v>-8095</v>
      </c>
      <c r="AO41" s="1296">
        <v>-9414</v>
      </c>
      <c r="AP41" s="1248">
        <v>-3753</v>
      </c>
      <c r="AQ41" s="1248">
        <v>-7732</v>
      </c>
      <c r="AR41" s="1248">
        <v>-5938</v>
      </c>
      <c r="AS41" s="1489">
        <v>-8959</v>
      </c>
      <c r="AT41" s="1493">
        <v>-9637</v>
      </c>
      <c r="AU41" s="1489">
        <v>-11127</v>
      </c>
      <c r="AV41" s="1489">
        <v>-11360</v>
      </c>
      <c r="AW41" s="1489">
        <v>-11478</v>
      </c>
      <c r="AX41" s="1297"/>
      <c r="AY41" s="1322">
        <v>-51187</v>
      </c>
      <c r="AZ41" s="1322">
        <v>-39046</v>
      </c>
      <c r="BA41" s="1026">
        <v>-12141</v>
      </c>
      <c r="BB41" s="1371">
        <v>-0.31094094145367002</v>
      </c>
      <c r="BC41" s="1235"/>
      <c r="BD41" s="1314">
        <v>-51187</v>
      </c>
      <c r="BE41" s="1279">
        <v>-39046</v>
      </c>
      <c r="BF41" s="1279">
        <v>-35670</v>
      </c>
      <c r="BG41" s="1279">
        <v>-36261</v>
      </c>
      <c r="BH41" s="1279">
        <v>-42489</v>
      </c>
      <c r="BI41" s="1297">
        <v>-53826</v>
      </c>
      <c r="BJ41" s="1297">
        <v>-47104</v>
      </c>
      <c r="BK41" s="1297">
        <v>-40566</v>
      </c>
      <c r="BL41" s="1447">
        <v>-26382</v>
      </c>
      <c r="BM41" s="1447">
        <v>-43602</v>
      </c>
      <c r="BN41" s="1054">
        <v>-44171</v>
      </c>
      <c r="BO41" s="1054">
        <v>-43835</v>
      </c>
      <c r="BP41" s="1054">
        <v>-52056</v>
      </c>
      <c r="BQ41" s="1226"/>
      <c r="BR41" s="1226"/>
      <c r="BS41" s="1181"/>
      <c r="BV41" s="1181"/>
    </row>
    <row r="42" spans="1:74" x14ac:dyDescent="0.2">
      <c r="A42" s="1235"/>
      <c r="B42" s="1423" t="s">
        <v>360</v>
      </c>
      <c r="C42" s="1254">
        <v>-1239</v>
      </c>
      <c r="D42" s="1383">
        <v>-0.88122332859174968</v>
      </c>
      <c r="E42" s="949"/>
      <c r="F42" s="1199">
        <v>0</v>
      </c>
      <c r="G42" s="1199">
        <v>0</v>
      </c>
      <c r="H42" s="1199">
        <v>0</v>
      </c>
      <c r="I42" s="2316">
        <v>-2645</v>
      </c>
      <c r="J42" s="1302">
        <v>-3381</v>
      </c>
      <c r="K42" s="1302">
        <v>-7983</v>
      </c>
      <c r="L42" s="1302">
        <v>524</v>
      </c>
      <c r="M42" s="1532">
        <v>-1406</v>
      </c>
      <c r="N42" s="1302">
        <v>-2826</v>
      </c>
      <c r="O42" s="1302">
        <v>27</v>
      </c>
      <c r="P42" s="1302">
        <v>-977</v>
      </c>
      <c r="Q42" s="1532">
        <v>-1677</v>
      </c>
      <c r="R42" s="1378">
        <v>-3569</v>
      </c>
      <c r="S42" s="1378">
        <v>-387</v>
      </c>
      <c r="T42" s="1302">
        <v>2408</v>
      </c>
      <c r="U42" s="1532">
        <v>-866</v>
      </c>
      <c r="V42" s="1378">
        <v>-2195</v>
      </c>
      <c r="W42" s="1378">
        <v>-1174</v>
      </c>
      <c r="X42" s="1378">
        <v>9584</v>
      </c>
      <c r="Y42" s="1532">
        <v>3321</v>
      </c>
      <c r="Z42" s="1378">
        <v>3717</v>
      </c>
      <c r="AA42" s="1378">
        <v>3210</v>
      </c>
      <c r="AB42" s="1378">
        <v>-1654</v>
      </c>
      <c r="AC42" s="1532">
        <v>-158</v>
      </c>
      <c r="AD42" s="1378" t="e">
        <v>#REF!</v>
      </c>
      <c r="AE42" s="1378" t="e">
        <v>#REF!</v>
      </c>
      <c r="AF42" s="1378"/>
      <c r="AG42" s="1532"/>
      <c r="AH42" s="1378"/>
      <c r="AI42" s="1378"/>
      <c r="AJ42" s="1301"/>
      <c r="AK42" s="1532"/>
      <c r="AL42" s="1378"/>
      <c r="AM42" s="1378"/>
      <c r="AN42" s="1378"/>
      <c r="AO42" s="1532"/>
      <c r="AP42" s="1300"/>
      <c r="AQ42" s="1300"/>
      <c r="AR42" s="1300"/>
      <c r="AS42" s="1506"/>
      <c r="AT42" s="1551"/>
      <c r="AU42" s="1506"/>
      <c r="AV42" s="1506"/>
      <c r="AW42" s="1506"/>
      <c r="AX42" s="1297"/>
      <c r="AY42" s="1378">
        <v>-12246</v>
      </c>
      <c r="AZ42" s="1378">
        <v>-5453</v>
      </c>
      <c r="BA42" s="1382">
        <v>-6793</v>
      </c>
      <c r="BB42" s="1383">
        <v>-1.2457362919493857</v>
      </c>
      <c r="BC42" s="1235"/>
      <c r="BD42" s="1328">
        <v>-12246</v>
      </c>
      <c r="BE42" s="1552">
        <v>-5453</v>
      </c>
      <c r="BF42" s="1552">
        <v>-2414</v>
      </c>
      <c r="BG42" s="1535">
        <v>9536</v>
      </c>
      <c r="BH42" s="1535">
        <v>5115</v>
      </c>
      <c r="BI42" s="1552">
        <v>-6319</v>
      </c>
      <c r="BJ42" s="1552" t="e">
        <f>+BJ41-#REF!-#REF!</f>
        <v>#REF!</v>
      </c>
      <c r="BK42" s="1552">
        <f>+BK41</f>
        <v>-40566</v>
      </c>
      <c r="BL42" s="1451">
        <f>+BL41</f>
        <v>-26382</v>
      </c>
      <c r="BM42" s="1451"/>
      <c r="BN42" s="1329"/>
      <c r="BO42" s="1329"/>
      <c r="BP42" s="1329"/>
      <c r="BQ42" s="1226"/>
      <c r="BR42" s="1226"/>
      <c r="BS42" s="1181"/>
      <c r="BV42" s="1181"/>
    </row>
    <row r="43" spans="1:74" x14ac:dyDescent="0.2">
      <c r="A43" s="1235"/>
      <c r="B43" s="1423"/>
      <c r="C43" s="1026"/>
      <c r="D43" s="981"/>
      <c r="E43" s="945"/>
      <c r="F43" s="945"/>
      <c r="G43" s="945"/>
      <c r="H43" s="945"/>
      <c r="I43" s="945"/>
      <c r="J43" s="1310"/>
      <c r="K43" s="1310"/>
      <c r="L43" s="1310"/>
      <c r="M43" s="1280"/>
      <c r="N43" s="1310"/>
      <c r="O43" s="1310"/>
      <c r="P43" s="1310"/>
      <c r="Q43" s="1280"/>
      <c r="R43" s="1310"/>
      <c r="S43" s="1310"/>
      <c r="T43" s="1310"/>
      <c r="U43" s="1280"/>
      <c r="V43" s="1310"/>
      <c r="W43" s="1310"/>
      <c r="X43" s="1310"/>
      <c r="Y43" s="1280"/>
      <c r="Z43" s="1310"/>
      <c r="AA43" s="1310"/>
      <c r="AB43" s="1310"/>
      <c r="AC43" s="1280"/>
      <c r="AD43" s="1310"/>
      <c r="AE43" s="1310"/>
      <c r="AF43" s="1310"/>
      <c r="AG43" s="1280"/>
      <c r="AH43" s="1310"/>
      <c r="AI43" s="1310"/>
      <c r="AJ43" s="1310"/>
      <c r="AK43" s="1280"/>
      <c r="AL43" s="1310"/>
      <c r="AM43" s="1310"/>
      <c r="AN43" s="1310"/>
      <c r="AO43" s="1280"/>
      <c r="AP43" s="1478"/>
      <c r="AQ43" s="1478"/>
      <c r="AR43" s="1478"/>
      <c r="AS43" s="1478"/>
      <c r="AT43" s="1478"/>
      <c r="AU43" s="1478"/>
      <c r="AV43" s="1478"/>
      <c r="AW43" s="1478"/>
      <c r="AX43" s="1251"/>
      <c r="AY43" s="1251"/>
      <c r="AZ43" s="1251"/>
      <c r="BA43" s="1026"/>
      <c r="BB43" s="2151"/>
      <c r="BC43" s="1235"/>
      <c r="BD43" s="1280"/>
      <c r="BE43" s="1280"/>
      <c r="BF43" s="1280"/>
      <c r="BG43" s="1280"/>
      <c r="BH43" s="1280"/>
      <c r="BI43" s="1280"/>
      <c r="BJ43" s="1280"/>
      <c r="BK43" s="1280"/>
      <c r="BL43" s="1478"/>
      <c r="BM43" s="1478"/>
      <c r="BN43" s="1025"/>
      <c r="BO43" s="1025"/>
      <c r="BP43" s="1025"/>
      <c r="BQ43" s="1226"/>
      <c r="BR43" s="1226"/>
      <c r="BS43" s="1181"/>
      <c r="BV43" s="1181"/>
    </row>
    <row r="44" spans="1:74" x14ac:dyDescent="0.2">
      <c r="A44" s="969" t="s">
        <v>381</v>
      </c>
      <c r="B44" s="1423"/>
      <c r="C44" s="1026"/>
      <c r="D44" s="981"/>
      <c r="E44" s="945"/>
      <c r="F44" s="945"/>
      <c r="G44" s="945"/>
      <c r="H44" s="945"/>
      <c r="I44" s="945"/>
      <c r="J44" s="1310"/>
      <c r="K44" s="1310"/>
      <c r="L44" s="1310"/>
      <c r="M44" s="1280"/>
      <c r="N44" s="1310"/>
      <c r="O44" s="1310"/>
      <c r="P44" s="1310"/>
      <c r="Q44" s="1280"/>
      <c r="R44" s="1310"/>
      <c r="S44" s="1310"/>
      <c r="T44" s="1310"/>
      <c r="U44" s="1280"/>
      <c r="V44" s="1310"/>
      <c r="W44" s="1310"/>
      <c r="X44" s="1310"/>
      <c r="Y44" s="1280"/>
      <c r="Z44" s="1310"/>
      <c r="AA44" s="1310"/>
      <c r="AB44" s="1310"/>
      <c r="AC44" s="1280"/>
      <c r="AD44" s="1310"/>
      <c r="AE44" s="1310"/>
      <c r="AF44" s="1310"/>
      <c r="AG44" s="1280"/>
      <c r="AH44" s="1310"/>
      <c r="AI44" s="1310"/>
      <c r="AJ44" s="1310"/>
      <c r="AK44" s="1280"/>
      <c r="AL44" s="1310"/>
      <c r="AM44" s="1310"/>
      <c r="AN44" s="1310"/>
      <c r="AO44" s="1280"/>
      <c r="AP44" s="1478"/>
      <c r="AQ44" s="1478"/>
      <c r="AR44" s="1478"/>
      <c r="AS44" s="1478"/>
      <c r="AT44" s="1478"/>
      <c r="AU44" s="1478"/>
      <c r="AV44" s="1478"/>
      <c r="AW44" s="1478"/>
      <c r="AX44" s="1251"/>
      <c r="AY44" s="1251"/>
      <c r="AZ44" s="1251"/>
      <c r="BA44" s="1026"/>
      <c r="BB44" s="2151"/>
      <c r="BC44" s="1235"/>
      <c r="BD44" s="1280"/>
      <c r="BE44" s="1280"/>
      <c r="BF44" s="1280"/>
      <c r="BG44" s="1280"/>
      <c r="BH44" s="1280"/>
      <c r="BI44" s="1280"/>
      <c r="BJ44" s="1280"/>
      <c r="BK44" s="1280"/>
      <c r="BL44" s="1478"/>
      <c r="BM44" s="1478"/>
      <c r="BN44" s="1025"/>
      <c r="BO44" s="1025"/>
      <c r="BP44" s="1025"/>
      <c r="BQ44" s="1226"/>
      <c r="BR44" s="1226"/>
      <c r="BS44" s="1181"/>
      <c r="BV44" s="1181"/>
    </row>
    <row r="45" spans="1:74" x14ac:dyDescent="0.2">
      <c r="A45" s="989" t="s">
        <v>29</v>
      </c>
      <c r="B45" s="1226"/>
      <c r="C45" s="1226"/>
      <c r="D45" s="1226"/>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1025"/>
      <c r="AJ45" s="1025"/>
      <c r="AK45" s="1025"/>
      <c r="AL45" s="1025"/>
      <c r="AM45" s="1025"/>
      <c r="AN45" s="1025"/>
      <c r="AO45" s="1025"/>
      <c r="AP45" s="1025"/>
      <c r="AQ45" s="1025"/>
      <c r="AR45" s="1025"/>
      <c r="AS45" s="1025"/>
      <c r="AT45" s="1025"/>
      <c r="AU45" s="1025"/>
      <c r="AV45" s="1025"/>
      <c r="AW45" s="1025"/>
      <c r="AX45" s="1025"/>
      <c r="AY45" s="1025"/>
      <c r="AZ45" s="1025"/>
      <c r="BA45" s="1025"/>
      <c r="BB45" s="1025"/>
      <c r="BC45" s="1025"/>
      <c r="BD45" s="1025"/>
      <c r="BE45" s="1025"/>
      <c r="BF45" s="1025"/>
      <c r="BG45" s="1025"/>
      <c r="BH45" s="1025"/>
      <c r="BI45" s="1025"/>
      <c r="BJ45" s="1025"/>
      <c r="BK45" s="1025"/>
      <c r="BL45" s="1025"/>
      <c r="BM45" s="1025"/>
      <c r="BN45" s="1025"/>
      <c r="BR45" s="1226"/>
      <c r="BS45" s="1181"/>
    </row>
    <row r="46" spans="1:74" x14ac:dyDescent="0.2">
      <c r="A46" s="964"/>
      <c r="M46" s="1225"/>
      <c r="Q46" s="1225"/>
      <c r="U46" s="1225"/>
      <c r="Y46" s="1225"/>
      <c r="AC46" s="1225"/>
      <c r="AG46" s="1225"/>
      <c r="AK46" s="1225"/>
      <c r="AW46" s="1025"/>
      <c r="AY46" s="1226"/>
      <c r="AZ46" s="1226"/>
      <c r="BL46" s="1025"/>
      <c r="BM46" s="1025"/>
      <c r="BR46" s="1226"/>
      <c r="BS46" s="1181"/>
    </row>
    <row r="47" spans="1:74" x14ac:dyDescent="0.2">
      <c r="A47" s="969" t="s">
        <v>310</v>
      </c>
      <c r="M47" s="1225"/>
      <c r="Q47" s="1225"/>
      <c r="U47" s="1225"/>
      <c r="Y47" s="1225"/>
      <c r="AC47" s="1225"/>
      <c r="AG47" s="1225"/>
      <c r="AK47" s="1225"/>
      <c r="AW47" s="1025"/>
      <c r="AY47" s="1226"/>
      <c r="AZ47" s="1226"/>
      <c r="BL47" s="1025"/>
      <c r="BM47" s="1025"/>
      <c r="BR47" s="1226"/>
      <c r="BS47" s="1181"/>
    </row>
    <row r="48" spans="1:74" x14ac:dyDescent="0.2">
      <c r="M48" s="1225"/>
      <c r="Q48" s="1225"/>
      <c r="U48" s="1225"/>
      <c r="Y48" s="1225"/>
      <c r="AC48" s="1225"/>
      <c r="AG48" s="1225"/>
      <c r="AK48" s="1225"/>
      <c r="AW48" s="1025"/>
      <c r="AY48" s="1226"/>
      <c r="AZ48" s="1226"/>
      <c r="BD48" s="1390"/>
      <c r="BE48" s="1390"/>
      <c r="BL48" s="1025"/>
      <c r="BM48" s="1025"/>
    </row>
    <row r="49" spans="13:65" x14ac:dyDescent="0.2">
      <c r="M49" s="1225"/>
      <c r="Q49" s="1225"/>
      <c r="U49" s="1225"/>
      <c r="Y49" s="1225"/>
      <c r="AC49" s="1225"/>
      <c r="AG49" s="1225"/>
      <c r="AK49" s="1225"/>
      <c r="AW49" s="1025"/>
      <c r="AY49" s="1226"/>
      <c r="AZ49" s="1226"/>
      <c r="BL49" s="964"/>
      <c r="BM49" s="964"/>
    </row>
    <row r="50" spans="13:65" x14ac:dyDescent="0.2">
      <c r="M50" s="1225"/>
      <c r="Q50" s="1225"/>
      <c r="U50" s="1225"/>
      <c r="Y50" s="1225"/>
      <c r="AC50" s="1225"/>
      <c r="AG50" s="1225"/>
      <c r="AK50" s="1225"/>
      <c r="AW50" s="981"/>
      <c r="AY50" s="1226"/>
      <c r="AZ50" s="1226"/>
      <c r="BL50" s="1041"/>
      <c r="BM50" s="1041"/>
    </row>
    <row r="51" spans="13:65" x14ac:dyDescent="0.2">
      <c r="M51" s="1178"/>
      <c r="Q51" s="1178"/>
      <c r="U51" s="1178"/>
      <c r="Y51" s="1178"/>
      <c r="AC51" s="1178"/>
      <c r="AG51" s="1178"/>
      <c r="AK51" s="1178"/>
      <c r="AO51" s="1178"/>
      <c r="AW51" s="1178"/>
      <c r="AY51" s="1226"/>
      <c r="AZ51" s="1226"/>
      <c r="BL51" s="964"/>
      <c r="BM51" s="964"/>
    </row>
    <row r="52" spans="13:65" x14ac:dyDescent="0.2">
      <c r="M52" s="964"/>
      <c r="Q52" s="964"/>
      <c r="U52" s="964"/>
      <c r="Y52" s="964"/>
      <c r="AC52" s="964"/>
      <c r="AG52" s="964"/>
      <c r="AK52" s="964"/>
      <c r="AO52" s="964"/>
      <c r="AW52" s="1392"/>
      <c r="AY52" s="1226"/>
      <c r="AZ52" s="1226"/>
      <c r="BL52" s="964"/>
      <c r="BM52" s="964"/>
    </row>
    <row r="53" spans="13:65" x14ac:dyDescent="0.2">
      <c r="M53" s="964"/>
      <c r="Q53" s="964"/>
      <c r="U53" s="964"/>
      <c r="Y53" s="964"/>
      <c r="AC53" s="964"/>
      <c r="AG53" s="964"/>
      <c r="AK53" s="964"/>
      <c r="AO53" s="964"/>
      <c r="AP53" s="964"/>
      <c r="AS53" s="964"/>
      <c r="AU53" s="964"/>
      <c r="AV53" s="964"/>
      <c r="AW53" s="964"/>
      <c r="AY53" s="1226"/>
      <c r="AZ53" s="1226"/>
      <c r="BL53" s="1034"/>
      <c r="BM53" s="1034"/>
    </row>
    <row r="54" spans="13:65" x14ac:dyDescent="0.2">
      <c r="M54" s="1041"/>
      <c r="Q54" s="1041"/>
      <c r="U54" s="1041"/>
      <c r="Y54" s="1041"/>
      <c r="AC54" s="1041"/>
      <c r="AG54" s="1041"/>
      <c r="AK54" s="1041"/>
      <c r="AO54" s="1041"/>
      <c r="AP54" s="1179"/>
      <c r="AQ54" s="1041"/>
      <c r="AR54" s="1041"/>
      <c r="AS54" s="1041"/>
      <c r="AT54" s="1159"/>
      <c r="AU54" s="1159"/>
      <c r="AV54" s="1097"/>
      <c r="AW54" s="989"/>
      <c r="AY54" s="1226"/>
      <c r="AZ54" s="1226"/>
      <c r="BL54" s="1034"/>
      <c r="BM54" s="1034"/>
    </row>
    <row r="55" spans="13:65" x14ac:dyDescent="0.2">
      <c r="M55" s="1041"/>
      <c r="Q55" s="1041"/>
      <c r="U55" s="1041"/>
      <c r="Y55" s="1041"/>
      <c r="AC55" s="1041"/>
      <c r="AG55" s="1041"/>
      <c r="AK55" s="1041"/>
      <c r="AO55" s="1041"/>
      <c r="AP55" s="1041"/>
      <c r="AQ55" s="1041"/>
      <c r="AR55" s="1041"/>
      <c r="AS55" s="1041"/>
      <c r="AT55" s="1092"/>
      <c r="AU55" s="1041"/>
      <c r="AV55" s="1041"/>
      <c r="AW55" s="1041"/>
      <c r="AY55" s="1226"/>
      <c r="AZ55" s="1226"/>
      <c r="BL55" s="1116"/>
      <c r="BM55" s="1116"/>
    </row>
    <row r="56" spans="13:65" x14ac:dyDescent="0.2">
      <c r="M56" s="981"/>
      <c r="Q56" s="981"/>
      <c r="U56" s="981"/>
      <c r="Y56" s="981"/>
      <c r="AC56" s="981"/>
      <c r="AG56" s="981"/>
      <c r="AK56" s="981"/>
      <c r="AO56" s="981"/>
      <c r="AP56" s="1113"/>
      <c r="AQ56" s="1057"/>
      <c r="AR56" s="1057"/>
      <c r="AS56" s="1057"/>
      <c r="AT56" s="1113"/>
      <c r="AU56" s="1057"/>
      <c r="AV56" s="1057"/>
      <c r="AW56" s="1022"/>
      <c r="AY56" s="1226"/>
      <c r="AZ56" s="1226"/>
      <c r="BL56" s="1021"/>
      <c r="BM56" s="1021"/>
    </row>
    <row r="57" spans="13:65" x14ac:dyDescent="0.2">
      <c r="M57" s="981"/>
      <c r="Q57" s="981"/>
      <c r="U57" s="981"/>
      <c r="Y57" s="981"/>
      <c r="AC57" s="981"/>
      <c r="AG57" s="981"/>
      <c r="AK57" s="981"/>
      <c r="AO57" s="981"/>
      <c r="AP57" s="1057"/>
      <c r="AQ57" s="1057"/>
      <c r="AR57" s="1057"/>
      <c r="AS57" s="1057"/>
      <c r="AT57" s="1057"/>
      <c r="AU57" s="1057"/>
      <c r="AV57" s="1057"/>
      <c r="AW57" s="1022"/>
      <c r="AY57" s="1226"/>
      <c r="AZ57" s="1226"/>
      <c r="BL57" s="1057"/>
      <c r="BM57" s="1057"/>
    </row>
    <row r="58" spans="13:65" x14ac:dyDescent="0.2">
      <c r="M58" s="981"/>
      <c r="Q58" s="981"/>
      <c r="U58" s="981"/>
      <c r="Y58" s="981"/>
      <c r="AC58" s="981"/>
      <c r="AG58" s="981"/>
      <c r="AK58" s="981"/>
      <c r="AO58" s="981"/>
      <c r="AP58" s="1057"/>
      <c r="AQ58" s="1057"/>
      <c r="AR58" s="1057"/>
      <c r="AS58" s="1057"/>
      <c r="AT58" s="1057"/>
      <c r="AU58" s="1057"/>
      <c r="AV58" s="1057"/>
      <c r="AW58" s="975"/>
      <c r="AY58" s="1226"/>
      <c r="AZ58" s="1226"/>
      <c r="BL58" s="1057"/>
      <c r="BM58" s="1057"/>
    </row>
    <row r="59" spans="13:65" x14ac:dyDescent="0.2">
      <c r="M59" s="1057"/>
      <c r="Q59" s="1057"/>
      <c r="U59" s="1057"/>
      <c r="Y59" s="1057"/>
      <c r="AC59" s="1057"/>
      <c r="AG59" s="1057"/>
      <c r="AK59" s="1057"/>
      <c r="AO59" s="1057"/>
      <c r="AP59" s="1057"/>
      <c r="AQ59" s="1057"/>
      <c r="AR59" s="1057"/>
      <c r="AS59" s="1057"/>
      <c r="AT59" s="1057"/>
      <c r="AU59" s="1057"/>
      <c r="AV59" s="1057"/>
      <c r="AW59" s="1057"/>
      <c r="AY59" s="1226"/>
      <c r="AZ59" s="1226"/>
      <c r="BL59" s="1120"/>
      <c r="BM59" s="1120"/>
    </row>
    <row r="60" spans="13:65" x14ac:dyDescent="0.2">
      <c r="M60" s="1120"/>
      <c r="Q60" s="1120"/>
      <c r="U60" s="1120"/>
      <c r="Y60" s="1120"/>
      <c r="AC60" s="1120"/>
      <c r="AG60" s="1120"/>
      <c r="AK60" s="1120"/>
      <c r="AO60" s="1120"/>
      <c r="AP60" s="1120"/>
      <c r="AQ60" s="1120"/>
      <c r="AR60" s="1120"/>
      <c r="AS60" s="1120"/>
      <c r="AT60" s="1120"/>
      <c r="AU60" s="1120"/>
      <c r="AV60" s="1120"/>
      <c r="AW60" s="1120"/>
      <c r="AY60" s="1226"/>
      <c r="AZ60" s="1226"/>
      <c r="BL60" s="1120"/>
      <c r="BM60" s="1120"/>
    </row>
    <row r="61" spans="13:65" x14ac:dyDescent="0.2">
      <c r="M61" s="1120"/>
      <c r="Q61" s="1120"/>
      <c r="U61" s="1120"/>
      <c r="Y61" s="1120"/>
      <c r="AC61" s="1120"/>
      <c r="AG61" s="1120"/>
      <c r="AK61" s="1120"/>
      <c r="AO61" s="1120"/>
      <c r="AP61" s="1120"/>
      <c r="AQ61" s="1120"/>
      <c r="AR61" s="1120"/>
      <c r="AS61" s="1120"/>
      <c r="AT61" s="1120"/>
      <c r="AU61" s="1120"/>
      <c r="AV61" s="1120"/>
      <c r="AW61" s="1120"/>
      <c r="AY61" s="1226"/>
      <c r="AZ61" s="1226"/>
      <c r="BL61" s="1226"/>
      <c r="BM61" s="1226"/>
    </row>
    <row r="62" spans="13:65" x14ac:dyDescent="0.2">
      <c r="AO62" s="1226"/>
      <c r="AP62" s="1226"/>
      <c r="AQ62" s="1226"/>
      <c r="AR62" s="1226"/>
      <c r="AS62" s="1226"/>
      <c r="AT62" s="1226"/>
      <c r="AU62" s="1226"/>
      <c r="AV62" s="1226"/>
      <c r="AW62" s="1226"/>
      <c r="AY62" s="1226"/>
      <c r="AZ62" s="1226"/>
      <c r="BL62" s="1226"/>
      <c r="BM62" s="1226"/>
    </row>
    <row r="63" spans="13:65" x14ac:dyDescent="0.2">
      <c r="AO63" s="1226"/>
      <c r="AP63" s="1226"/>
      <c r="AQ63" s="1226"/>
      <c r="AR63" s="1226"/>
      <c r="AS63" s="1226"/>
      <c r="AT63" s="1226"/>
      <c r="AU63" s="1226"/>
      <c r="AV63" s="1226"/>
      <c r="AW63" s="1226"/>
      <c r="AY63" s="1226"/>
      <c r="AZ63" s="1226"/>
      <c r="BL63" s="1226"/>
      <c r="BM63" s="1226"/>
    </row>
    <row r="64" spans="13:65" x14ac:dyDescent="0.2">
      <c r="AO64" s="1226"/>
      <c r="AP64" s="1226"/>
      <c r="AQ64" s="1226"/>
      <c r="AR64" s="1226"/>
      <c r="AS64" s="1226"/>
      <c r="AT64" s="1226"/>
      <c r="AU64" s="1226"/>
      <c r="AV64" s="1226"/>
      <c r="AW64" s="1226"/>
      <c r="AY64" s="1226"/>
      <c r="AZ64" s="1226"/>
      <c r="BL64" s="1226"/>
      <c r="BM64" s="1226"/>
    </row>
    <row r="65" spans="13:65" x14ac:dyDescent="0.2">
      <c r="AO65" s="1226"/>
      <c r="AP65" s="1226"/>
      <c r="AQ65" s="1226"/>
      <c r="AR65" s="1226"/>
      <c r="AS65" s="1226"/>
      <c r="AT65" s="1226"/>
      <c r="AU65" s="1226"/>
      <c r="AV65" s="1226"/>
      <c r="AW65" s="1226"/>
      <c r="AY65" s="1226"/>
      <c r="AZ65" s="1226"/>
      <c r="BL65" s="1226"/>
      <c r="BM65" s="1226"/>
    </row>
    <row r="66" spans="13:65" x14ac:dyDescent="0.2">
      <c r="AO66" s="1226"/>
      <c r="AP66" s="1226"/>
      <c r="AQ66" s="1226"/>
      <c r="AR66" s="1226"/>
      <c r="AS66" s="1226"/>
      <c r="AT66" s="1226"/>
      <c r="AU66" s="1226"/>
      <c r="AV66" s="1226"/>
      <c r="AW66" s="1226"/>
      <c r="AY66" s="1226"/>
      <c r="AZ66" s="1226"/>
    </row>
    <row r="67" spans="13:65" x14ac:dyDescent="0.2">
      <c r="M67" s="1225"/>
      <c r="Q67" s="1225"/>
      <c r="U67" s="1225"/>
      <c r="Y67" s="1225"/>
      <c r="AC67" s="1225"/>
      <c r="AG67" s="1225"/>
      <c r="AK67" s="1225"/>
    </row>
    <row r="68" spans="13:65" x14ac:dyDescent="0.2">
      <c r="M68" s="1225"/>
      <c r="Q68" s="1225"/>
      <c r="U68" s="1225"/>
      <c r="Y68" s="1225"/>
      <c r="AC68" s="1225"/>
      <c r="AG68" s="1225"/>
      <c r="AK68" s="1225"/>
    </row>
    <row r="69" spans="13:65" x14ac:dyDescent="0.2">
      <c r="M69" s="1225"/>
      <c r="Q69" s="1225"/>
      <c r="U69" s="1225"/>
      <c r="Y69" s="1225"/>
      <c r="AC69" s="1225"/>
      <c r="AG69" s="1225"/>
      <c r="AK69" s="1225"/>
    </row>
    <row r="70" spans="13:65" x14ac:dyDescent="0.2">
      <c r="M70" s="1225"/>
      <c r="Q70" s="1225"/>
      <c r="U70" s="1225"/>
      <c r="Y70" s="1225"/>
      <c r="AC70" s="1225"/>
      <c r="AG70" s="1225"/>
      <c r="AK70" s="1225"/>
    </row>
    <row r="71" spans="13:65" x14ac:dyDescent="0.2">
      <c r="M71" s="1225"/>
      <c r="Q71" s="1225"/>
      <c r="U71" s="1225"/>
      <c r="Y71" s="1225"/>
      <c r="AC71" s="1225"/>
      <c r="AG71" s="1225"/>
      <c r="AK71" s="1225"/>
    </row>
  </sheetData>
  <mergeCells count="7">
    <mergeCell ref="BA10:BB10"/>
    <mergeCell ref="BA38:BB38"/>
    <mergeCell ref="A30:B30"/>
    <mergeCell ref="C9:D9"/>
    <mergeCell ref="C10:D10"/>
    <mergeCell ref="C37:D37"/>
    <mergeCell ref="C38:D38"/>
  </mergeCells>
  <phoneticPr fontId="16" type="noConversion"/>
  <conditionalFormatting sqref="A35:A36">
    <cfRule type="cellIs" dxfId="19" priority="1" stopIfTrue="1" operator="equal">
      <formula>0</formula>
    </cfRule>
  </conditionalFormatting>
  <printOptions horizontalCentered="1"/>
  <pageMargins left="0.3" right="0.3" top="0.4" bottom="0.6" header="0" footer="0.3"/>
  <pageSetup scale="68" orientation="landscape" r:id="rId1"/>
  <headerFooter alignWithMargins="0">
    <oddFooter>&amp;L&amp;F&amp;CPage 10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T87"/>
  <sheetViews>
    <sheetView zoomScaleNormal="100" zoomScaleSheetLayoutView="100" zoomScalePageLayoutView="70" workbookViewId="0">
      <selection activeCell="BC46" sqref="BC46"/>
    </sheetView>
  </sheetViews>
  <sheetFormatPr defaultRowHeight="12.75" x14ac:dyDescent="0.2"/>
  <cols>
    <col min="1" max="1" width="3.28515625" style="1225" customWidth="1"/>
    <col min="2" max="2" width="36.28515625" style="1225" customWidth="1"/>
    <col min="3" max="3" width="12.85546875" style="1225" bestFit="1" customWidth="1"/>
    <col min="4" max="4" width="9.7109375" style="1225" bestFit="1" customWidth="1"/>
    <col min="5" max="5" width="1.5703125" style="1181" customWidth="1"/>
    <col min="6" max="8" width="11.140625" style="1181" hidden="1" customWidth="1"/>
    <col min="9" max="9" width="13.28515625" style="1181" customWidth="1"/>
    <col min="10" max="11" width="12.5703125" style="1226" customWidth="1"/>
    <col min="12" max="12" width="12.140625" style="1226" customWidth="1"/>
    <col min="13" max="13" width="12.42578125" style="1226" customWidth="1"/>
    <col min="14" max="17" width="11" style="1226" customWidth="1"/>
    <col min="18" max="21" width="11" style="1226" hidden="1" customWidth="1"/>
    <col min="22" max="22" width="12.28515625" style="1226" hidden="1" customWidth="1"/>
    <col min="23" max="23" width="11.5703125" style="1226" hidden="1" customWidth="1"/>
    <col min="24" max="24" width="11.42578125" style="1226" hidden="1" customWidth="1"/>
    <col min="25" max="25" width="11.5703125" style="1226" hidden="1" customWidth="1"/>
    <col min="26" max="26" width="11.85546875" style="1226" hidden="1" customWidth="1"/>
    <col min="27" max="27" width="12" style="1226" hidden="1" customWidth="1"/>
    <col min="28" max="28" width="11.5703125" style="1226" hidden="1" customWidth="1"/>
    <col min="29" max="31" width="11.85546875" style="1226" hidden="1" customWidth="1"/>
    <col min="32" max="32" width="11.42578125" style="1226" hidden="1" customWidth="1"/>
    <col min="33" max="34" width="12" style="1226" hidden="1" customWidth="1"/>
    <col min="35" max="35" width="11.85546875" style="1226" hidden="1" customWidth="1"/>
    <col min="36" max="36" width="12" style="1226" hidden="1" customWidth="1"/>
    <col min="37" max="37" width="11.85546875" style="1226" hidden="1" customWidth="1"/>
    <col min="38" max="38" width="12.42578125" style="1226" hidden="1" customWidth="1"/>
    <col min="39" max="39" width="11.5703125" style="1226" hidden="1" customWidth="1"/>
    <col min="40" max="40" width="11.85546875" style="1226" hidden="1" customWidth="1"/>
    <col min="41" max="41" width="12.42578125" style="1225" hidden="1" customWidth="1"/>
    <col min="42" max="42" width="11.85546875" style="1225" hidden="1" customWidth="1"/>
    <col min="43" max="43" width="11.140625" style="1225" hidden="1" customWidth="1"/>
    <col min="44" max="44" width="11.5703125" style="1225" hidden="1" customWidth="1"/>
    <col min="45" max="45" width="12.28515625" style="1225" hidden="1" customWidth="1"/>
    <col min="46" max="46" width="12.42578125" style="1225" hidden="1" customWidth="1"/>
    <col min="47" max="48" width="11.42578125" style="1225" hidden="1" customWidth="1"/>
    <col min="49" max="49" width="11.5703125" style="1225" hidden="1" customWidth="1"/>
    <col min="50" max="50" width="1.5703125" style="1225" customWidth="1"/>
    <col min="51" max="55" width="11.28515625" style="1225" customWidth="1"/>
    <col min="56" max="56" width="11.28515625" style="1225" hidden="1" customWidth="1"/>
    <col min="57" max="57" width="11.85546875" style="1225" hidden="1" customWidth="1"/>
    <col min="58" max="58" width="12.28515625" style="1225" hidden="1" customWidth="1"/>
    <col min="59" max="60" width="9.28515625" style="1225" hidden="1" customWidth="1"/>
    <col min="61" max="61" width="11.85546875" style="1225" hidden="1" customWidth="1"/>
    <col min="62" max="62" width="12.42578125" style="1225" hidden="1" customWidth="1"/>
    <col min="63" max="64" width="11.140625" style="1225" hidden="1" customWidth="1"/>
    <col min="65" max="65" width="11.5703125" style="1225" hidden="1" customWidth="1"/>
    <col min="66" max="66" width="1.5703125" style="1225" customWidth="1"/>
    <col min="67" max="67" width="9.140625" style="1225"/>
    <col min="68" max="16384" width="9.140625" style="1180"/>
  </cols>
  <sheetData>
    <row r="4" spans="1:72" x14ac:dyDescent="0.2">
      <c r="M4" s="1258"/>
      <c r="Q4" s="1258"/>
      <c r="U4" s="1258"/>
      <c r="Y4" s="1258"/>
      <c r="AC4" s="1258"/>
    </row>
    <row r="5" spans="1:72" x14ac:dyDescent="0.2">
      <c r="A5" s="1226"/>
      <c r="B5" s="1226"/>
      <c r="C5" s="1226"/>
      <c r="D5" s="1226"/>
      <c r="AO5" s="1226"/>
      <c r="AP5" s="1226"/>
      <c r="AQ5" s="1226"/>
      <c r="BG5" s="1226"/>
      <c r="BH5" s="1226"/>
    </row>
    <row r="6" spans="1:72" ht="18" customHeight="1" x14ac:dyDescent="0.2">
      <c r="A6" s="1227" t="s">
        <v>392</v>
      </c>
      <c r="B6" s="1226"/>
      <c r="C6" s="1226"/>
      <c r="D6" s="1226"/>
      <c r="AO6" s="1226"/>
      <c r="AP6" s="1226"/>
      <c r="AQ6" s="1226"/>
      <c r="BG6" s="1226"/>
      <c r="BH6" s="1226"/>
    </row>
    <row r="7" spans="1:72" ht="18" customHeight="1" x14ac:dyDescent="0.2">
      <c r="A7" s="1227" t="s">
        <v>447</v>
      </c>
      <c r="B7" s="1226"/>
      <c r="C7" s="1226"/>
      <c r="D7" s="1226"/>
      <c r="AO7" s="1226"/>
      <c r="AP7" s="1226"/>
      <c r="AQ7" s="1226"/>
      <c r="BG7" s="1226"/>
      <c r="BH7" s="1226"/>
    </row>
    <row r="8" spans="1:72" x14ac:dyDescent="0.2">
      <c r="A8" s="967"/>
      <c r="B8" s="1226"/>
      <c r="C8" s="1226"/>
      <c r="D8" s="1226"/>
      <c r="M8" s="1258"/>
      <c r="Q8" s="1258"/>
      <c r="U8" s="1258"/>
      <c r="AO8" s="1226"/>
      <c r="AP8" s="1226"/>
      <c r="AQ8" s="1226"/>
      <c r="BG8" s="1226"/>
      <c r="BH8" s="1226"/>
    </row>
    <row r="9" spans="1:72" ht="9.75" customHeight="1" x14ac:dyDescent="0.2">
      <c r="A9" s="964"/>
      <c r="B9" s="964"/>
      <c r="C9" s="964"/>
      <c r="D9" s="964"/>
      <c r="E9" s="915"/>
      <c r="F9" s="915"/>
      <c r="G9" s="915"/>
      <c r="H9" s="915"/>
      <c r="I9" s="915"/>
      <c r="J9" s="964"/>
      <c r="K9" s="964"/>
      <c r="L9" s="999"/>
      <c r="M9" s="964"/>
      <c r="N9" s="964"/>
      <c r="O9" s="964"/>
      <c r="P9" s="999"/>
      <c r="Q9" s="964"/>
      <c r="R9" s="999"/>
      <c r="S9" s="964"/>
      <c r="T9" s="999"/>
      <c r="U9" s="964"/>
      <c r="V9" s="999"/>
      <c r="W9" s="964"/>
      <c r="X9" s="999"/>
      <c r="Y9" s="964"/>
      <c r="Z9" s="999"/>
      <c r="AA9" s="964"/>
      <c r="AB9" s="999"/>
      <c r="AC9" s="964"/>
      <c r="AD9" s="999"/>
      <c r="AE9" s="964"/>
      <c r="AF9" s="999"/>
      <c r="AG9" s="964"/>
      <c r="AH9" s="999"/>
      <c r="AI9" s="964"/>
      <c r="AJ9" s="999"/>
      <c r="AK9" s="964"/>
      <c r="AL9" s="999"/>
      <c r="AM9" s="964"/>
      <c r="AN9" s="964"/>
      <c r="AO9" s="1226"/>
      <c r="AP9" s="1226"/>
      <c r="AQ9" s="1226"/>
      <c r="BG9" s="964"/>
      <c r="BH9" s="964"/>
      <c r="BK9" s="1226"/>
      <c r="BL9" s="1226"/>
    </row>
    <row r="10" spans="1:72" x14ac:dyDescent="0.2">
      <c r="A10" s="968" t="s">
        <v>1</v>
      </c>
      <c r="B10" s="969"/>
      <c r="C10" s="2455" t="s">
        <v>456</v>
      </c>
      <c r="D10" s="2456"/>
      <c r="E10" s="919"/>
      <c r="F10" s="1184"/>
      <c r="G10" s="1184"/>
      <c r="H10" s="1184"/>
      <c r="I10" s="2280"/>
      <c r="J10" s="1263"/>
      <c r="K10" s="1263"/>
      <c r="M10" s="1261"/>
      <c r="N10" s="1263"/>
      <c r="O10" s="1263"/>
      <c r="Q10" s="1261"/>
      <c r="S10" s="1263"/>
      <c r="U10" s="1261"/>
      <c r="W10" s="1263"/>
      <c r="Y10" s="1261"/>
      <c r="AA10" s="1263"/>
      <c r="AC10" s="1261"/>
      <c r="AE10" s="1263"/>
      <c r="AG10" s="1261"/>
      <c r="AI10" s="1263"/>
      <c r="AK10" s="1261"/>
      <c r="AL10" s="1263"/>
      <c r="AM10" s="1263"/>
      <c r="AN10" s="1263"/>
      <c r="AO10" s="1261"/>
      <c r="AP10" s="1264"/>
      <c r="AQ10" s="1261"/>
      <c r="AR10" s="1261"/>
      <c r="AS10" s="1261"/>
      <c r="AT10" s="1264"/>
      <c r="AU10" s="1261"/>
      <c r="AV10" s="1261"/>
      <c r="AW10" s="1261"/>
      <c r="AX10" s="1014"/>
      <c r="AY10" s="1009"/>
      <c r="AZ10" s="1009"/>
      <c r="BA10" s="1009"/>
      <c r="BB10" s="1009"/>
      <c r="BC10" s="1009"/>
      <c r="BD10" s="2274"/>
      <c r="BE10" s="1009"/>
      <c r="BF10" s="1009"/>
      <c r="BG10" s="2455" t="s">
        <v>180</v>
      </c>
      <c r="BH10" s="2456"/>
      <c r="BI10" s="1262"/>
      <c r="BJ10" s="1264"/>
      <c r="BK10" s="1009"/>
      <c r="BL10" s="2279"/>
      <c r="BM10" s="2279"/>
      <c r="BN10" s="1266"/>
    </row>
    <row r="11" spans="1:72" x14ac:dyDescent="0.2">
      <c r="A11" s="968" t="s">
        <v>95</v>
      </c>
      <c r="B11" s="969"/>
      <c r="C11" s="2500" t="s">
        <v>39</v>
      </c>
      <c r="D11" s="2458"/>
      <c r="E11" s="924"/>
      <c r="F11" s="925" t="s">
        <v>452</v>
      </c>
      <c r="G11" s="925" t="s">
        <v>453</v>
      </c>
      <c r="H11" s="925" t="s">
        <v>454</v>
      </c>
      <c r="I11" s="2281" t="s">
        <v>455</v>
      </c>
      <c r="J11" s="1010" t="s">
        <v>399</v>
      </c>
      <c r="K11" s="1010" t="s">
        <v>398</v>
      </c>
      <c r="L11" s="1010" t="s">
        <v>397</v>
      </c>
      <c r="M11" s="1011" t="s">
        <v>395</v>
      </c>
      <c r="N11" s="1010" t="s">
        <v>373</v>
      </c>
      <c r="O11" s="1010" t="s">
        <v>374</v>
      </c>
      <c r="P11" s="1010" t="s">
        <v>375</v>
      </c>
      <c r="Q11" s="1011" t="s">
        <v>376</v>
      </c>
      <c r="R11" s="1012" t="s">
        <v>330</v>
      </c>
      <c r="S11" s="1010" t="s">
        <v>329</v>
      </c>
      <c r="T11" s="1010" t="s">
        <v>328</v>
      </c>
      <c r="U11" s="1011" t="s">
        <v>326</v>
      </c>
      <c r="V11" s="1012" t="s">
        <v>282</v>
      </c>
      <c r="W11" s="1010" t="s">
        <v>283</v>
      </c>
      <c r="X11" s="1010" t="s">
        <v>284</v>
      </c>
      <c r="Y11" s="1011" t="s">
        <v>285</v>
      </c>
      <c r="Z11" s="1010" t="s">
        <v>220</v>
      </c>
      <c r="AA11" s="1010" t="s">
        <v>221</v>
      </c>
      <c r="AB11" s="1010" t="s">
        <v>222</v>
      </c>
      <c r="AC11" s="1011" t="s">
        <v>219</v>
      </c>
      <c r="AD11" s="1010" t="s">
        <v>185</v>
      </c>
      <c r="AE11" s="1010" t="s">
        <v>186</v>
      </c>
      <c r="AF11" s="1010" t="s">
        <v>187</v>
      </c>
      <c r="AG11" s="1011" t="s">
        <v>188</v>
      </c>
      <c r="AH11" s="1010" t="s">
        <v>118</v>
      </c>
      <c r="AI11" s="1010" t="s">
        <v>117</v>
      </c>
      <c r="AJ11" s="1010" t="s">
        <v>116</v>
      </c>
      <c r="AK11" s="1011" t="s">
        <v>115</v>
      </c>
      <c r="AL11" s="1010" t="s">
        <v>83</v>
      </c>
      <c r="AM11" s="1010" t="s">
        <v>84</v>
      </c>
      <c r="AN11" s="1010" t="s">
        <v>85</v>
      </c>
      <c r="AO11" s="1011" t="s">
        <v>30</v>
      </c>
      <c r="AP11" s="1014" t="s">
        <v>31</v>
      </c>
      <c r="AQ11" s="1271" t="s">
        <v>32</v>
      </c>
      <c r="AR11" s="1271" t="s">
        <v>33</v>
      </c>
      <c r="AS11" s="1271" t="s">
        <v>34</v>
      </c>
      <c r="AT11" s="1014" t="s">
        <v>35</v>
      </c>
      <c r="AU11" s="1271" t="s">
        <v>36</v>
      </c>
      <c r="AV11" s="1271" t="s">
        <v>37</v>
      </c>
      <c r="AW11" s="1271" t="s">
        <v>38</v>
      </c>
      <c r="AX11" s="2159"/>
      <c r="AY11" s="1014" t="s">
        <v>438</v>
      </c>
      <c r="AZ11" s="1014" t="s">
        <v>385</v>
      </c>
      <c r="BA11" s="1014" t="s">
        <v>332</v>
      </c>
      <c r="BB11" s="1014" t="s">
        <v>287</v>
      </c>
      <c r="BC11" s="1014" t="s">
        <v>224</v>
      </c>
      <c r="BD11" s="1008" t="s">
        <v>120</v>
      </c>
      <c r="BE11" s="2014" t="s">
        <v>119</v>
      </c>
      <c r="BF11" s="2014" t="s">
        <v>43</v>
      </c>
      <c r="BG11" s="2501" t="s">
        <v>39</v>
      </c>
      <c r="BH11" s="2454"/>
      <c r="BI11" s="2014" t="s">
        <v>40</v>
      </c>
      <c r="BJ11" s="1014" t="s">
        <v>41</v>
      </c>
      <c r="BK11" s="1013" t="s">
        <v>138</v>
      </c>
      <c r="BL11" s="1267" t="s">
        <v>139</v>
      </c>
      <c r="BM11" s="1267" t="s">
        <v>140</v>
      </c>
      <c r="BN11" s="1266"/>
      <c r="BO11" s="1226"/>
      <c r="BR11" s="1181"/>
      <c r="BS11" s="1181"/>
      <c r="BT11" s="1181"/>
    </row>
    <row r="12" spans="1:72" s="1181" customFormat="1" x14ac:dyDescent="0.2">
      <c r="A12" s="968"/>
      <c r="B12" s="969"/>
      <c r="C12" s="2277"/>
      <c r="D12" s="2272"/>
      <c r="E12" s="924"/>
      <c r="F12" s="1186"/>
      <c r="G12" s="1186"/>
      <c r="H12" s="1186"/>
      <c r="I12" s="2282"/>
      <c r="J12" s="1268"/>
      <c r="K12" s="1268"/>
      <c r="L12" s="1268"/>
      <c r="M12" s="1269"/>
      <c r="N12" s="1268"/>
      <c r="O12" s="1268"/>
      <c r="P12" s="1268"/>
      <c r="Q12" s="1269"/>
      <c r="R12" s="1270"/>
      <c r="S12" s="1268"/>
      <c r="T12" s="1268"/>
      <c r="U12" s="1269"/>
      <c r="V12" s="1270"/>
      <c r="W12" s="1268"/>
      <c r="X12" s="1268"/>
      <c r="Y12" s="1269"/>
      <c r="Z12" s="1270"/>
      <c r="AA12" s="1268"/>
      <c r="AB12" s="1268"/>
      <c r="AC12" s="1269"/>
      <c r="AD12" s="1270"/>
      <c r="AE12" s="1268"/>
      <c r="AF12" s="1268"/>
      <c r="AG12" s="1269"/>
      <c r="AH12" s="1270"/>
      <c r="AI12" s="1268"/>
      <c r="AJ12" s="1268"/>
      <c r="AK12" s="1269"/>
      <c r="AL12" s="1008"/>
      <c r="AM12" s="1008"/>
      <c r="AN12" s="1008"/>
      <c r="AO12" s="1271"/>
      <c r="AP12" s="1014"/>
      <c r="AQ12" s="1271"/>
      <c r="AR12" s="1271"/>
      <c r="AS12" s="1271"/>
      <c r="AT12" s="1014"/>
      <c r="AU12" s="1271"/>
      <c r="AV12" s="1271"/>
      <c r="AW12" s="1271"/>
      <c r="AX12" s="2159"/>
      <c r="AY12" s="1272"/>
      <c r="AZ12" s="1272"/>
      <c r="BA12" s="1272"/>
      <c r="BB12" s="1272"/>
      <c r="BC12" s="1272"/>
      <c r="BD12" s="1269"/>
      <c r="BE12" s="1270"/>
      <c r="BF12" s="1270"/>
      <c r="BG12" s="2277"/>
      <c r="BH12" s="2272"/>
      <c r="BI12" s="1270"/>
      <c r="BJ12" s="1272"/>
      <c r="BK12" s="1014"/>
      <c r="BL12" s="1273"/>
      <c r="BM12" s="1273"/>
      <c r="BN12" s="1266"/>
      <c r="BO12" s="1226"/>
    </row>
    <row r="13" spans="1:72" ht="12.75" customHeight="1" x14ac:dyDescent="0.2">
      <c r="A13" s="1239" t="s">
        <v>96</v>
      </c>
      <c r="B13" s="2155"/>
      <c r="C13" s="1230"/>
      <c r="D13" s="1228"/>
      <c r="E13" s="1187"/>
      <c r="F13" s="1188"/>
      <c r="G13" s="1188"/>
      <c r="H13" s="1188"/>
      <c r="I13" s="1183"/>
      <c r="J13" s="1251"/>
      <c r="K13" s="1251"/>
      <c r="L13" s="1251"/>
      <c r="M13" s="1228"/>
      <c r="N13" s="1251"/>
      <c r="O13" s="1251"/>
      <c r="P13" s="1251"/>
      <c r="Q13" s="1228"/>
      <c r="R13" s="1251"/>
      <c r="S13" s="1251"/>
      <c r="T13" s="1251"/>
      <c r="U13" s="1228"/>
      <c r="V13" s="1251"/>
      <c r="W13" s="1251"/>
      <c r="X13" s="1251"/>
      <c r="Y13" s="1228"/>
      <c r="Z13" s="1251"/>
      <c r="AA13" s="1251"/>
      <c r="AB13" s="1251"/>
      <c r="AC13" s="1228"/>
      <c r="AD13" s="1251"/>
      <c r="AE13" s="1251"/>
      <c r="AF13" s="1251"/>
      <c r="AG13" s="1228"/>
      <c r="AH13" s="1251"/>
      <c r="AI13" s="1251"/>
      <c r="AJ13" s="1251"/>
      <c r="AK13" s="1228"/>
      <c r="AL13" s="1251"/>
      <c r="AM13" s="1251"/>
      <c r="AN13" s="1251"/>
      <c r="AO13" s="1228"/>
      <c r="AP13" s="1274"/>
      <c r="AQ13" s="1228"/>
      <c r="AR13" s="1228"/>
      <c r="AS13" s="1228"/>
      <c r="AT13" s="1274"/>
      <c r="AU13" s="1228"/>
      <c r="AV13" s="1228"/>
      <c r="AW13" s="1228"/>
      <c r="AX13" s="1274"/>
      <c r="AY13" s="1274"/>
      <c r="AZ13" s="1274"/>
      <c r="BA13" s="1274"/>
      <c r="BB13" s="1274"/>
      <c r="BC13" s="1274"/>
      <c r="BD13" s="1228"/>
      <c r="BE13" s="1274"/>
      <c r="BF13" s="1274"/>
      <c r="BG13" s="1230"/>
      <c r="BH13" s="1228"/>
      <c r="BI13" s="1274"/>
      <c r="BJ13" s="1274"/>
      <c r="BK13" s="2160"/>
      <c r="BL13" s="2160"/>
      <c r="BM13" s="2160"/>
      <c r="BN13" s="1266"/>
      <c r="BO13" s="1226"/>
      <c r="BR13" s="1181"/>
    </row>
    <row r="14" spans="1:72" ht="12.75" customHeight="1" x14ac:dyDescent="0.2">
      <c r="A14" s="1239"/>
      <c r="B14" s="1235" t="s">
        <v>97</v>
      </c>
      <c r="C14" s="979">
        <v>-142388</v>
      </c>
      <c r="D14" s="1056">
        <v>-0.33537938279339924</v>
      </c>
      <c r="E14" s="1394"/>
      <c r="F14" s="1400"/>
      <c r="G14" s="1400"/>
      <c r="H14" s="1400"/>
      <c r="I14" s="2303">
        <v>282170</v>
      </c>
      <c r="J14" s="1478">
        <v>428329</v>
      </c>
      <c r="K14" s="1478">
        <v>413589</v>
      </c>
      <c r="L14" s="1478">
        <v>289385</v>
      </c>
      <c r="M14" s="1477">
        <v>424558</v>
      </c>
      <c r="N14" s="1478">
        <v>322324</v>
      </c>
      <c r="O14" s="1478">
        <v>339962</v>
      </c>
      <c r="P14" s="1478">
        <v>290403</v>
      </c>
      <c r="Q14" s="1477">
        <v>273880</v>
      </c>
      <c r="R14" s="1478">
        <v>364296</v>
      </c>
      <c r="S14" s="1478">
        <v>357713</v>
      </c>
      <c r="T14" s="1478">
        <v>360172</v>
      </c>
      <c r="U14" s="1477">
        <v>380869</v>
      </c>
      <c r="V14" s="1478">
        <v>491012</v>
      </c>
      <c r="W14" s="1478">
        <v>555960</v>
      </c>
      <c r="X14" s="1478">
        <v>575367</v>
      </c>
      <c r="Y14" s="1477">
        <v>644027</v>
      </c>
      <c r="Z14" s="1478">
        <v>814238</v>
      </c>
      <c r="AA14" s="1478">
        <v>700914</v>
      </c>
      <c r="AB14" s="1478">
        <v>691114</v>
      </c>
      <c r="AC14" s="1477">
        <v>710734</v>
      </c>
      <c r="AD14" s="1478">
        <v>954068</v>
      </c>
      <c r="AE14" s="1478">
        <v>713117</v>
      </c>
      <c r="AF14" s="1478">
        <v>636908</v>
      </c>
      <c r="AG14" s="1477">
        <v>569953</v>
      </c>
      <c r="AH14" s="1478">
        <v>731852</v>
      </c>
      <c r="AI14" s="1478">
        <v>782576</v>
      </c>
      <c r="AJ14" s="1478">
        <v>709455</v>
      </c>
      <c r="AK14" s="1477">
        <v>734268</v>
      </c>
      <c r="AL14" s="1478">
        <v>701173</v>
      </c>
      <c r="AM14" s="1478">
        <v>684463</v>
      </c>
      <c r="AN14" s="1478">
        <v>521322</v>
      </c>
      <c r="AO14" s="1477">
        <v>555017</v>
      </c>
      <c r="AP14" s="1447">
        <v>435649</v>
      </c>
      <c r="AQ14" s="1477">
        <v>421783</v>
      </c>
      <c r="AR14" s="1477">
        <v>379680</v>
      </c>
      <c r="AS14" s="1477">
        <v>329584</v>
      </c>
      <c r="AT14" s="1447">
        <v>506640</v>
      </c>
      <c r="AU14" s="1477">
        <v>371525</v>
      </c>
      <c r="AV14" s="1477">
        <v>315883</v>
      </c>
      <c r="AW14" s="1477">
        <v>376986</v>
      </c>
      <c r="AX14" s="1447"/>
      <c r="AY14" s="1060">
        <v>428329</v>
      </c>
      <c r="AZ14" s="1060">
        <v>322324</v>
      </c>
      <c r="BA14" s="1060">
        <v>364296</v>
      </c>
      <c r="BB14" s="1060">
        <v>491012</v>
      </c>
      <c r="BC14" s="1060">
        <v>814238</v>
      </c>
      <c r="BD14" s="1059">
        <v>954068</v>
      </c>
      <c r="BE14" s="1060">
        <v>731852</v>
      </c>
      <c r="BF14" s="1060">
        <v>701173</v>
      </c>
      <c r="BG14" s="979">
        <v>30679</v>
      </c>
      <c r="BH14" s="1056">
        <v>4.3753823949296396E-2</v>
      </c>
      <c r="BI14" s="1447">
        <v>435649</v>
      </c>
      <c r="BJ14" s="1447">
        <v>506640</v>
      </c>
      <c r="BK14" s="1279">
        <v>370507</v>
      </c>
      <c r="BL14" s="1279">
        <v>349700</v>
      </c>
      <c r="BM14" s="1279">
        <v>91966</v>
      </c>
      <c r="BN14" s="1226"/>
      <c r="BO14" s="1226"/>
      <c r="BR14" s="1181"/>
    </row>
    <row r="15" spans="1:72" ht="12.75" customHeight="1" x14ac:dyDescent="0.2">
      <c r="A15" s="1239"/>
      <c r="B15" s="1235" t="s">
        <v>278</v>
      </c>
      <c r="C15" s="979">
        <v>-150420</v>
      </c>
      <c r="D15" s="1056">
        <v>-0.17146237733349901</v>
      </c>
      <c r="E15" s="1394"/>
      <c r="F15" s="1400"/>
      <c r="G15" s="1400"/>
      <c r="H15" s="1400"/>
      <c r="I15" s="2303">
        <v>726857</v>
      </c>
      <c r="J15" s="1478">
        <v>564746</v>
      </c>
      <c r="K15" s="1478">
        <v>556613</v>
      </c>
      <c r="L15" s="1478">
        <v>816967</v>
      </c>
      <c r="M15" s="1477">
        <v>877277</v>
      </c>
      <c r="N15" s="1478">
        <v>848128</v>
      </c>
      <c r="O15" s="1478">
        <v>1018038</v>
      </c>
      <c r="P15" s="1478">
        <v>1041320</v>
      </c>
      <c r="Q15" s="1477">
        <v>1313241</v>
      </c>
      <c r="R15" s="1478">
        <v>1143201</v>
      </c>
      <c r="S15" s="1478">
        <v>1143898</v>
      </c>
      <c r="T15" s="1478">
        <v>929247</v>
      </c>
      <c r="U15" s="1477">
        <v>1426328</v>
      </c>
      <c r="V15" s="1478">
        <v>924337</v>
      </c>
      <c r="W15" s="1478">
        <v>1453470</v>
      </c>
      <c r="X15" s="1478">
        <v>1087334</v>
      </c>
      <c r="Y15" s="1477">
        <v>1214424</v>
      </c>
      <c r="Z15" s="1478">
        <v>1171988</v>
      </c>
      <c r="AA15" s="1478">
        <v>1100470</v>
      </c>
      <c r="AB15" s="1478">
        <v>1316755</v>
      </c>
      <c r="AC15" s="1477">
        <v>849679</v>
      </c>
      <c r="AD15" s="1478">
        <v>947185</v>
      </c>
      <c r="AE15" s="1478">
        <v>1098154</v>
      </c>
      <c r="AF15" s="1478">
        <v>1268897</v>
      </c>
      <c r="AG15" s="1477">
        <v>835261</v>
      </c>
      <c r="AH15" s="1478">
        <v>362755</v>
      </c>
      <c r="AI15" s="1478">
        <v>404537</v>
      </c>
      <c r="AJ15" s="1478">
        <v>517070</v>
      </c>
      <c r="AK15" s="1477">
        <v>169030</v>
      </c>
      <c r="AL15" s="1478">
        <v>133691</v>
      </c>
      <c r="AM15" s="1478">
        <v>72938</v>
      </c>
      <c r="AN15" s="1478">
        <v>56055</v>
      </c>
      <c r="AO15" s="1477">
        <v>117013</v>
      </c>
      <c r="AP15" s="1447">
        <v>92796</v>
      </c>
      <c r="AQ15" s="1477">
        <v>164388</v>
      </c>
      <c r="AR15" s="1477">
        <v>227368</v>
      </c>
      <c r="AS15" s="1477">
        <v>225734</v>
      </c>
      <c r="AT15" s="1447">
        <v>348764</v>
      </c>
      <c r="AU15" s="1477">
        <v>146030</v>
      </c>
      <c r="AV15" s="1477">
        <v>119809</v>
      </c>
      <c r="AW15" s="1477">
        <v>194061</v>
      </c>
      <c r="AX15" s="1447"/>
      <c r="AY15" s="1060">
        <v>564746</v>
      </c>
      <c r="AZ15" s="1060">
        <v>848128</v>
      </c>
      <c r="BA15" s="1060">
        <v>1143201</v>
      </c>
      <c r="BB15" s="1060">
        <v>924337</v>
      </c>
      <c r="BC15" s="1060">
        <v>1171988</v>
      </c>
      <c r="BD15" s="1059">
        <v>947185</v>
      </c>
      <c r="BE15" s="1060">
        <v>362755</v>
      </c>
      <c r="BF15" s="1060">
        <v>133691</v>
      </c>
      <c r="BG15" s="979">
        <v>229064</v>
      </c>
      <c r="BH15" s="1056">
        <v>1.7133838478282009</v>
      </c>
      <c r="BI15" s="1447">
        <v>92796</v>
      </c>
      <c r="BJ15" s="1447">
        <v>348764</v>
      </c>
      <c r="BK15" s="1279">
        <v>203020</v>
      </c>
      <c r="BL15" s="1279">
        <v>160348</v>
      </c>
      <c r="BM15" s="1279">
        <v>376447</v>
      </c>
      <c r="BN15" s="1226"/>
      <c r="BO15" s="1226"/>
      <c r="BR15" s="1181"/>
    </row>
    <row r="16" spans="1:72" ht="12.75" customHeight="1" x14ac:dyDescent="0.2">
      <c r="A16" s="1239"/>
      <c r="B16" s="1235" t="s">
        <v>98</v>
      </c>
      <c r="C16" s="979">
        <v>301159</v>
      </c>
      <c r="D16" s="1056">
        <v>0.12532266031478914</v>
      </c>
      <c r="E16" s="1394"/>
      <c r="F16" s="1400"/>
      <c r="G16" s="1400"/>
      <c r="H16" s="1400"/>
      <c r="I16" s="2303">
        <v>2704228</v>
      </c>
      <c r="J16" s="1478">
        <v>2041150</v>
      </c>
      <c r="K16" s="1478">
        <v>1384550</v>
      </c>
      <c r="L16" s="1478">
        <v>2147327</v>
      </c>
      <c r="M16" s="1477">
        <v>2403069</v>
      </c>
      <c r="N16" s="1478">
        <v>2491488</v>
      </c>
      <c r="O16" s="1478">
        <v>1868510</v>
      </c>
      <c r="P16" s="1478">
        <v>2679165</v>
      </c>
      <c r="Q16" s="1477">
        <v>2068340</v>
      </c>
      <c r="R16" s="1478">
        <v>2785898</v>
      </c>
      <c r="S16" s="1478">
        <v>1912423</v>
      </c>
      <c r="T16" s="1478">
        <v>2268642</v>
      </c>
      <c r="U16" s="1477">
        <v>2843247</v>
      </c>
      <c r="V16" s="1478">
        <v>2513958</v>
      </c>
      <c r="W16" s="1478">
        <v>2280064</v>
      </c>
      <c r="X16" s="1478">
        <v>2750879</v>
      </c>
      <c r="Y16" s="1477">
        <v>2548117</v>
      </c>
      <c r="Z16" s="1478">
        <v>3081640</v>
      </c>
      <c r="AA16" s="1478">
        <v>2215448</v>
      </c>
      <c r="AB16" s="1478">
        <v>3270356</v>
      </c>
      <c r="AC16" s="1477">
        <v>2488826</v>
      </c>
      <c r="AD16" s="1478">
        <v>2828812</v>
      </c>
      <c r="AE16" s="1478">
        <v>2383057</v>
      </c>
      <c r="AF16" s="1478">
        <v>2987415</v>
      </c>
      <c r="AG16" s="1477">
        <v>2185305</v>
      </c>
      <c r="AH16" s="1478">
        <v>1972924</v>
      </c>
      <c r="AI16" s="1478">
        <v>1311144</v>
      </c>
      <c r="AJ16" s="1478">
        <v>2085356</v>
      </c>
      <c r="AK16" s="1477">
        <v>1166610</v>
      </c>
      <c r="AL16" s="1478">
        <v>1061161</v>
      </c>
      <c r="AM16" s="1478">
        <v>806402</v>
      </c>
      <c r="AN16" s="1478">
        <v>1227426</v>
      </c>
      <c r="AO16" s="1477">
        <v>1525096</v>
      </c>
      <c r="AP16" s="1447">
        <v>1422917</v>
      </c>
      <c r="AQ16" s="1477">
        <v>1260869</v>
      </c>
      <c r="AR16" s="1477">
        <v>1829712</v>
      </c>
      <c r="AS16" s="1477">
        <v>2052737</v>
      </c>
      <c r="AT16" s="1447">
        <v>1672035</v>
      </c>
      <c r="AU16" s="1477">
        <v>1204371</v>
      </c>
      <c r="AV16" s="1477">
        <v>1163218</v>
      </c>
      <c r="AW16" s="1477">
        <v>1154454</v>
      </c>
      <c r="AX16" s="1447"/>
      <c r="AY16" s="1060">
        <v>2041150</v>
      </c>
      <c r="AZ16" s="1060">
        <v>2491488</v>
      </c>
      <c r="BA16" s="1060">
        <v>2785898</v>
      </c>
      <c r="BB16" s="1060">
        <v>2513958</v>
      </c>
      <c r="BC16" s="1060">
        <v>3081640</v>
      </c>
      <c r="BD16" s="1059">
        <v>2828812</v>
      </c>
      <c r="BE16" s="1060">
        <v>1972924</v>
      </c>
      <c r="BF16" s="1060">
        <v>1061161</v>
      </c>
      <c r="BG16" s="979">
        <v>911763</v>
      </c>
      <c r="BH16" s="1056">
        <v>0.8592126925132002</v>
      </c>
      <c r="BI16" s="1447">
        <v>1422917</v>
      </c>
      <c r="BJ16" s="1447">
        <v>1672035</v>
      </c>
      <c r="BK16" s="1279">
        <v>1539998</v>
      </c>
      <c r="BL16" s="1279">
        <v>1068757</v>
      </c>
      <c r="BM16" s="1279">
        <v>998815</v>
      </c>
      <c r="BN16" s="1226"/>
      <c r="BO16" s="1226"/>
      <c r="BR16" s="1181"/>
    </row>
    <row r="17" spans="1:70" ht="12.75" customHeight="1" x14ac:dyDescent="0.2">
      <c r="A17" s="1239"/>
      <c r="B17" s="1235" t="s">
        <v>99</v>
      </c>
      <c r="C17" s="979">
        <v>-73</v>
      </c>
      <c r="D17" s="1056">
        <v>-7.3418485366589558E-3</v>
      </c>
      <c r="E17" s="1394"/>
      <c r="F17" s="931"/>
      <c r="G17" s="931"/>
      <c r="H17" s="1400"/>
      <c r="I17" s="2295">
        <v>9870</v>
      </c>
      <c r="J17" s="1025">
        <v>12537</v>
      </c>
      <c r="K17" s="1025">
        <v>12344</v>
      </c>
      <c r="L17" s="1478">
        <v>8558</v>
      </c>
      <c r="M17" s="1053">
        <v>9943</v>
      </c>
      <c r="N17" s="1025">
        <v>5295</v>
      </c>
      <c r="O17" s="1025">
        <v>5112</v>
      </c>
      <c r="P17" s="1478">
        <v>3022</v>
      </c>
      <c r="Q17" s="1053">
        <v>6823</v>
      </c>
      <c r="R17" s="1025">
        <v>3983</v>
      </c>
      <c r="S17" s="1025">
        <v>1755</v>
      </c>
      <c r="T17" s="1478">
        <v>3405</v>
      </c>
      <c r="U17" s="1477">
        <v>3276</v>
      </c>
      <c r="V17" s="1025">
        <v>0</v>
      </c>
      <c r="W17" s="1025">
        <v>0</v>
      </c>
      <c r="X17" s="1478">
        <v>15120</v>
      </c>
      <c r="Y17" s="1477">
        <v>15866</v>
      </c>
      <c r="Z17" s="1025">
        <v>8301</v>
      </c>
      <c r="AA17" s="1025">
        <v>15565</v>
      </c>
      <c r="AB17" s="1478">
        <v>18776</v>
      </c>
      <c r="AC17" s="1477">
        <v>10317</v>
      </c>
      <c r="AD17" s="1178">
        <v>0</v>
      </c>
      <c r="AE17" s="1178">
        <v>0</v>
      </c>
      <c r="AF17" s="1478">
        <v>5567</v>
      </c>
      <c r="AG17" s="1477">
        <v>5287</v>
      </c>
      <c r="AH17" s="1178">
        <v>0</v>
      </c>
      <c r="AI17" s="1178">
        <v>0</v>
      </c>
      <c r="AJ17" s="1478">
        <v>2107</v>
      </c>
      <c r="AK17" s="1477">
        <v>17740</v>
      </c>
      <c r="AL17" s="1478">
        <v>23771</v>
      </c>
      <c r="AM17" s="1478">
        <v>29887</v>
      </c>
      <c r="AN17" s="1478">
        <v>19772</v>
      </c>
      <c r="AO17" s="1477">
        <v>19440</v>
      </c>
      <c r="AP17" s="1447">
        <v>11083</v>
      </c>
      <c r="AQ17" s="1477">
        <v>2758</v>
      </c>
      <c r="AR17" s="1477">
        <v>661</v>
      </c>
      <c r="AS17" s="2161">
        <v>0</v>
      </c>
      <c r="AT17" s="2162">
        <v>0</v>
      </c>
      <c r="AU17" s="2161">
        <v>0</v>
      </c>
      <c r="AV17" s="2161">
        <v>0</v>
      </c>
      <c r="AW17" s="2161">
        <v>0</v>
      </c>
      <c r="AX17" s="1447"/>
      <c r="AY17" s="1060">
        <v>12537</v>
      </c>
      <c r="AZ17" s="1060">
        <v>5295</v>
      </c>
      <c r="BA17" s="1060">
        <v>3983</v>
      </c>
      <c r="BB17" s="1060">
        <v>0</v>
      </c>
      <c r="BC17" s="1060">
        <v>8301</v>
      </c>
      <c r="BD17" s="1059">
        <v>0</v>
      </c>
      <c r="BE17" s="1054">
        <v>0</v>
      </c>
      <c r="BF17" s="1060">
        <v>23771</v>
      </c>
      <c r="BG17" s="979">
        <v>-23771</v>
      </c>
      <c r="BH17" s="1056">
        <v>-1</v>
      </c>
      <c r="BI17" s="1447">
        <v>11083</v>
      </c>
      <c r="BJ17" s="2161">
        <v>0</v>
      </c>
      <c r="BK17" s="1279">
        <v>0</v>
      </c>
      <c r="BL17" s="1279">
        <v>0</v>
      </c>
      <c r="BM17" s="1279">
        <v>0</v>
      </c>
      <c r="BN17" s="1226"/>
      <c r="BO17" s="1226"/>
      <c r="BR17" s="1181"/>
    </row>
    <row r="18" spans="1:70" ht="12.75" customHeight="1" x14ac:dyDescent="0.2">
      <c r="A18" s="1239"/>
      <c r="B18" s="1235" t="s">
        <v>279</v>
      </c>
      <c r="C18" s="979">
        <v>-530</v>
      </c>
      <c r="D18" s="1056">
        <v>-5.1356589147286823E-2</v>
      </c>
      <c r="E18" s="1394"/>
      <c r="F18" s="1400"/>
      <c r="G18" s="1400"/>
      <c r="H18" s="1400"/>
      <c r="I18" s="2303">
        <v>9790</v>
      </c>
      <c r="J18" s="1478">
        <v>11221</v>
      </c>
      <c r="K18" s="1478">
        <v>10006</v>
      </c>
      <c r="L18" s="1478">
        <v>10190</v>
      </c>
      <c r="M18" s="1477">
        <v>10320</v>
      </c>
      <c r="N18" s="1478">
        <v>10148</v>
      </c>
      <c r="O18" s="1478">
        <v>9706</v>
      </c>
      <c r="P18" s="1478">
        <v>9366</v>
      </c>
      <c r="Q18" s="1477">
        <v>9165</v>
      </c>
      <c r="R18" s="1478">
        <v>9735</v>
      </c>
      <c r="S18" s="1478">
        <v>9322</v>
      </c>
      <c r="T18" s="1478">
        <v>10877</v>
      </c>
      <c r="U18" s="1477">
        <v>9938</v>
      </c>
      <c r="V18" s="1478">
        <v>12552</v>
      </c>
      <c r="W18" s="1478">
        <v>8550</v>
      </c>
      <c r="X18" s="1478">
        <v>6077</v>
      </c>
      <c r="Y18" s="1477">
        <v>6735</v>
      </c>
      <c r="Z18" s="1478">
        <v>3959</v>
      </c>
      <c r="AA18" s="1478">
        <v>2419</v>
      </c>
      <c r="AB18" s="1478">
        <v>1791</v>
      </c>
      <c r="AC18" s="1477">
        <v>2076</v>
      </c>
      <c r="AD18" s="1478">
        <v>1503</v>
      </c>
      <c r="AE18" s="1478">
        <v>1036</v>
      </c>
      <c r="AF18" s="1478">
        <v>1076</v>
      </c>
      <c r="AG18" s="1477">
        <v>680</v>
      </c>
      <c r="AH18" s="1478">
        <v>13190</v>
      </c>
      <c r="AI18" s="1478">
        <v>11890</v>
      </c>
      <c r="AJ18" s="1478">
        <v>12019</v>
      </c>
      <c r="AK18" s="1477">
        <v>13358</v>
      </c>
      <c r="AL18" s="1478">
        <v>15680</v>
      </c>
      <c r="AM18" s="1478">
        <v>13657</v>
      </c>
      <c r="AN18" s="1478">
        <v>11566</v>
      </c>
      <c r="AO18" s="1477">
        <v>10725</v>
      </c>
      <c r="AP18" s="1447">
        <v>28207</v>
      </c>
      <c r="AQ18" s="1477">
        <v>10630</v>
      </c>
      <c r="AR18" s="1477">
        <v>9940</v>
      </c>
      <c r="AS18" s="1477">
        <v>7761</v>
      </c>
      <c r="AT18" s="1447">
        <v>11021</v>
      </c>
      <c r="AU18" s="1477">
        <v>11782</v>
      </c>
      <c r="AV18" s="1477">
        <v>12754</v>
      </c>
      <c r="AW18" s="1477">
        <v>11872</v>
      </c>
      <c r="AX18" s="1447"/>
      <c r="AY18" s="1060">
        <v>11221</v>
      </c>
      <c r="AZ18" s="1060">
        <v>10148</v>
      </c>
      <c r="BA18" s="1060">
        <v>9735</v>
      </c>
      <c r="BB18" s="1060">
        <v>12552</v>
      </c>
      <c r="BC18" s="1060">
        <v>3959</v>
      </c>
      <c r="BD18" s="1059">
        <v>1503</v>
      </c>
      <c r="BE18" s="1060">
        <v>13190</v>
      </c>
      <c r="BF18" s="1060">
        <v>15680</v>
      </c>
      <c r="BG18" s="979">
        <v>-2490</v>
      </c>
      <c r="BH18" s="1056">
        <v>-0.15880102040816327</v>
      </c>
      <c r="BI18" s="1447">
        <v>28207</v>
      </c>
      <c r="BJ18" s="1447">
        <v>11021</v>
      </c>
      <c r="BK18" s="1278">
        <v>10769</v>
      </c>
      <c r="BL18" s="1278">
        <v>3992</v>
      </c>
      <c r="BM18" s="1278">
        <v>0</v>
      </c>
      <c r="BN18" s="1226"/>
      <c r="BO18" s="1226"/>
      <c r="BR18" s="1181"/>
    </row>
    <row r="19" spans="1:70" ht="12.75" customHeight="1" x14ac:dyDescent="0.2">
      <c r="A19" s="1239"/>
      <c r="B19" s="1235" t="s">
        <v>100</v>
      </c>
      <c r="C19" s="979">
        <v>-4022</v>
      </c>
      <c r="D19" s="1056">
        <v>-0.43006843455945254</v>
      </c>
      <c r="E19" s="1394"/>
      <c r="F19" s="1400"/>
      <c r="G19" s="1400"/>
      <c r="H19" s="1400"/>
      <c r="I19" s="2303">
        <v>5330</v>
      </c>
      <c r="J19" s="1478">
        <v>5578</v>
      </c>
      <c r="K19" s="1478">
        <v>5621</v>
      </c>
      <c r="L19" s="1478">
        <v>9482</v>
      </c>
      <c r="M19" s="1477">
        <v>9352</v>
      </c>
      <c r="N19" s="1478">
        <v>8693</v>
      </c>
      <c r="O19" s="1478">
        <v>9964</v>
      </c>
      <c r="P19" s="1478">
        <v>9920</v>
      </c>
      <c r="Q19" s="1477">
        <v>9931</v>
      </c>
      <c r="R19" s="1478">
        <v>9977</v>
      </c>
      <c r="S19" s="1478">
        <v>9491</v>
      </c>
      <c r="T19" s="1478">
        <v>9267</v>
      </c>
      <c r="U19" s="1477">
        <v>4113</v>
      </c>
      <c r="V19" s="1478">
        <v>3695</v>
      </c>
      <c r="W19" s="1478">
        <v>3276</v>
      </c>
      <c r="X19" s="1478">
        <v>3247</v>
      </c>
      <c r="Y19" s="1477">
        <v>9488</v>
      </c>
      <c r="Z19" s="1478">
        <v>9493</v>
      </c>
      <c r="AA19" s="1478">
        <v>5934</v>
      </c>
      <c r="AB19" s="1478">
        <v>5934</v>
      </c>
      <c r="AC19" s="1477">
        <v>5934</v>
      </c>
      <c r="AD19" s="1478">
        <v>5934</v>
      </c>
      <c r="AE19" s="1478">
        <v>6732</v>
      </c>
      <c r="AF19" s="1478">
        <v>6732</v>
      </c>
      <c r="AG19" s="1477">
        <v>6732</v>
      </c>
      <c r="AH19" s="1478">
        <v>5000</v>
      </c>
      <c r="AI19" s="1478">
        <v>5000</v>
      </c>
      <c r="AJ19" s="1478">
        <v>5000</v>
      </c>
      <c r="AK19" s="1477">
        <v>5000</v>
      </c>
      <c r="AL19" s="1478">
        <v>5000</v>
      </c>
      <c r="AM19" s="1478">
        <v>5000</v>
      </c>
      <c r="AN19" s="1478">
        <v>5000</v>
      </c>
      <c r="AO19" s="1477">
        <v>5000</v>
      </c>
      <c r="AP19" s="1447">
        <v>5000</v>
      </c>
      <c r="AQ19" s="1477">
        <v>5000</v>
      </c>
      <c r="AR19" s="1477">
        <v>5000</v>
      </c>
      <c r="AS19" s="1477">
        <v>5000</v>
      </c>
      <c r="AT19" s="2162">
        <v>0</v>
      </c>
      <c r="AU19" s="2161">
        <v>0</v>
      </c>
      <c r="AV19" s="2161">
        <v>0</v>
      </c>
      <c r="AW19" s="2161">
        <v>0</v>
      </c>
      <c r="AX19" s="1447"/>
      <c r="AY19" s="1060">
        <v>5578</v>
      </c>
      <c r="AZ19" s="1060">
        <v>8693</v>
      </c>
      <c r="BA19" s="1060">
        <v>9977</v>
      </c>
      <c r="BB19" s="1060">
        <v>3695</v>
      </c>
      <c r="BC19" s="1060">
        <v>9493</v>
      </c>
      <c r="BD19" s="1059">
        <v>5934</v>
      </c>
      <c r="BE19" s="1060">
        <v>5000</v>
      </c>
      <c r="BF19" s="1060">
        <v>5000</v>
      </c>
      <c r="BG19" s="979">
        <v>0</v>
      </c>
      <c r="BH19" s="1056">
        <v>0</v>
      </c>
      <c r="BI19" s="1447">
        <v>5000</v>
      </c>
      <c r="BJ19" s="2161">
        <v>0</v>
      </c>
      <c r="BK19" s="1308">
        <v>0</v>
      </c>
      <c r="BL19" s="1308">
        <v>0</v>
      </c>
      <c r="BM19" s="1308">
        <v>0</v>
      </c>
      <c r="BN19" s="1226"/>
      <c r="BO19" s="1226"/>
      <c r="BR19" s="1181"/>
    </row>
    <row r="20" spans="1:70" ht="12.75" customHeight="1" x14ac:dyDescent="0.2">
      <c r="A20" s="1239"/>
      <c r="B20" s="1235" t="s">
        <v>101</v>
      </c>
      <c r="C20" s="979">
        <v>-8072</v>
      </c>
      <c r="D20" s="1056">
        <v>-0.18859813084112151</v>
      </c>
      <c r="E20" s="1394"/>
      <c r="F20" s="1400"/>
      <c r="G20" s="1400"/>
      <c r="H20" s="1400"/>
      <c r="I20" s="2303">
        <v>34728</v>
      </c>
      <c r="J20" s="1478">
        <v>37049</v>
      </c>
      <c r="K20" s="1478">
        <v>35539</v>
      </c>
      <c r="L20" s="1478">
        <v>42798</v>
      </c>
      <c r="M20" s="1477">
        <v>42800</v>
      </c>
      <c r="N20" s="1478">
        <v>43373</v>
      </c>
      <c r="O20" s="1478">
        <v>43126</v>
      </c>
      <c r="P20" s="1478">
        <v>45240</v>
      </c>
      <c r="Q20" s="1477">
        <v>48500</v>
      </c>
      <c r="R20" s="1478">
        <v>50975</v>
      </c>
      <c r="S20" s="1478">
        <v>50390</v>
      </c>
      <c r="T20" s="1478">
        <v>41306</v>
      </c>
      <c r="U20" s="1477">
        <v>42293</v>
      </c>
      <c r="V20" s="1478">
        <v>42979</v>
      </c>
      <c r="W20" s="1478">
        <v>46613</v>
      </c>
      <c r="X20" s="1478">
        <v>48013</v>
      </c>
      <c r="Y20" s="1477">
        <v>49678</v>
      </c>
      <c r="Z20" s="1478">
        <v>51084</v>
      </c>
      <c r="AA20" s="1478">
        <v>44550</v>
      </c>
      <c r="AB20" s="1478">
        <v>43120</v>
      </c>
      <c r="AC20" s="1477">
        <v>43289</v>
      </c>
      <c r="AD20" s="1478">
        <v>40818</v>
      </c>
      <c r="AE20" s="1478">
        <v>36860</v>
      </c>
      <c r="AF20" s="1478">
        <v>37463</v>
      </c>
      <c r="AG20" s="1477">
        <v>39001</v>
      </c>
      <c r="AH20" s="1478">
        <v>38127</v>
      </c>
      <c r="AI20" s="1478">
        <v>40471</v>
      </c>
      <c r="AJ20" s="1478">
        <v>41718</v>
      </c>
      <c r="AK20" s="1477">
        <v>44366</v>
      </c>
      <c r="AL20" s="1478">
        <v>46311</v>
      </c>
      <c r="AM20" s="1478">
        <v>44178</v>
      </c>
      <c r="AN20" s="1478">
        <v>39254</v>
      </c>
      <c r="AO20" s="1477">
        <v>39575</v>
      </c>
      <c r="AP20" s="1447">
        <v>40686</v>
      </c>
      <c r="AQ20" s="1477">
        <v>39939</v>
      </c>
      <c r="AR20" s="1477">
        <v>40137</v>
      </c>
      <c r="AS20" s="1477">
        <v>39231</v>
      </c>
      <c r="AT20" s="1447">
        <v>37549</v>
      </c>
      <c r="AU20" s="1477">
        <v>33566</v>
      </c>
      <c r="AV20" s="1477">
        <v>26527</v>
      </c>
      <c r="AW20" s="1477">
        <v>24449</v>
      </c>
      <c r="AX20" s="1447"/>
      <c r="AY20" s="1060">
        <v>37049</v>
      </c>
      <c r="AZ20" s="1060">
        <v>43373</v>
      </c>
      <c r="BA20" s="1060">
        <v>50975</v>
      </c>
      <c r="BB20" s="1060">
        <v>42979</v>
      </c>
      <c r="BC20" s="1060">
        <v>51084</v>
      </c>
      <c r="BD20" s="1059">
        <v>40818</v>
      </c>
      <c r="BE20" s="1060">
        <v>38127</v>
      </c>
      <c r="BF20" s="1060">
        <v>46311</v>
      </c>
      <c r="BG20" s="979">
        <v>-8184</v>
      </c>
      <c r="BH20" s="1056">
        <v>-0.17671827427608991</v>
      </c>
      <c r="BI20" s="1447">
        <v>40686</v>
      </c>
      <c r="BJ20" s="1447">
        <v>37549</v>
      </c>
      <c r="BK20" s="1279">
        <v>25750</v>
      </c>
      <c r="BL20" s="1279">
        <v>13750</v>
      </c>
      <c r="BM20" s="1279">
        <v>12373</v>
      </c>
      <c r="BN20" s="1226"/>
      <c r="BO20" s="1226"/>
      <c r="BR20" s="1181"/>
    </row>
    <row r="21" spans="1:70" ht="12.75" customHeight="1" x14ac:dyDescent="0.2">
      <c r="A21" s="1239"/>
      <c r="B21" s="1235" t="s">
        <v>102</v>
      </c>
      <c r="C21" s="979">
        <v>-340960</v>
      </c>
      <c r="D21" s="1056">
        <v>-0.52367246511256438</v>
      </c>
      <c r="E21" s="1394"/>
      <c r="F21" s="1223"/>
      <c r="G21" s="1223"/>
      <c r="H21" s="931"/>
      <c r="I21" s="2295">
        <v>310134</v>
      </c>
      <c r="J21" s="1375">
        <v>323936</v>
      </c>
      <c r="K21" s="1375">
        <v>345053</v>
      </c>
      <c r="L21" s="1025">
        <v>656845</v>
      </c>
      <c r="M21" s="1053">
        <v>651094</v>
      </c>
      <c r="N21" s="1375">
        <v>640456</v>
      </c>
      <c r="O21" s="1375">
        <v>635618</v>
      </c>
      <c r="P21" s="1025">
        <v>640766</v>
      </c>
      <c r="Q21" s="1053">
        <v>641258</v>
      </c>
      <c r="R21" s="1025">
        <v>646557</v>
      </c>
      <c r="S21" s="1375">
        <v>637928</v>
      </c>
      <c r="T21" s="1025">
        <v>622766</v>
      </c>
      <c r="U21" s="1053">
        <v>617369</v>
      </c>
      <c r="V21" s="1025">
        <v>614969</v>
      </c>
      <c r="W21" s="1375">
        <v>629268</v>
      </c>
      <c r="X21" s="1025">
        <v>616444</v>
      </c>
      <c r="Y21" s="1053">
        <v>617503</v>
      </c>
      <c r="Z21" s="1025">
        <v>622020</v>
      </c>
      <c r="AA21" s="1375">
        <v>354577</v>
      </c>
      <c r="AB21" s="1025">
        <v>317320</v>
      </c>
      <c r="AC21" s="1053">
        <v>318250</v>
      </c>
      <c r="AD21" s="1025">
        <v>319180</v>
      </c>
      <c r="AE21" s="1375">
        <v>316928</v>
      </c>
      <c r="AF21" s="1025">
        <v>317858</v>
      </c>
      <c r="AG21" s="1053">
        <v>319685</v>
      </c>
      <c r="AH21" s="1178">
        <v>0</v>
      </c>
      <c r="AI21" s="2163">
        <v>0</v>
      </c>
      <c r="AJ21" s="1178">
        <v>0</v>
      </c>
      <c r="AK21" s="2161">
        <v>0</v>
      </c>
      <c r="AL21" s="1178">
        <v>0</v>
      </c>
      <c r="AM21" s="2163">
        <v>0</v>
      </c>
      <c r="AN21" s="1478">
        <v>31815</v>
      </c>
      <c r="AO21" s="1477">
        <v>32167</v>
      </c>
      <c r="AP21" s="1447">
        <v>32520</v>
      </c>
      <c r="AQ21" s="1477">
        <v>32873</v>
      </c>
      <c r="AR21" s="1477">
        <v>33227</v>
      </c>
      <c r="AS21" s="1477">
        <v>33580</v>
      </c>
      <c r="AT21" s="1447">
        <v>33933</v>
      </c>
      <c r="AU21" s="1477">
        <v>26869</v>
      </c>
      <c r="AV21" s="1477">
        <v>27222</v>
      </c>
      <c r="AW21" s="1477">
        <v>27575</v>
      </c>
      <c r="AX21" s="1447"/>
      <c r="AY21" s="1060">
        <v>323936</v>
      </c>
      <c r="AZ21" s="1060">
        <v>640456</v>
      </c>
      <c r="BA21" s="1060">
        <v>646557</v>
      </c>
      <c r="BB21" s="1060">
        <v>614969</v>
      </c>
      <c r="BC21" s="1060">
        <v>622020</v>
      </c>
      <c r="BD21" s="1059">
        <v>319180</v>
      </c>
      <c r="BE21" s="1054">
        <v>0</v>
      </c>
      <c r="BF21" s="1054">
        <v>0</v>
      </c>
      <c r="BG21" s="979">
        <v>0</v>
      </c>
      <c r="BH21" s="1056" t="e">
        <v>#DIV/0!</v>
      </c>
      <c r="BI21" s="1447">
        <v>32520</v>
      </c>
      <c r="BJ21" s="1447">
        <v>33933</v>
      </c>
      <c r="BK21" s="1279">
        <v>27929</v>
      </c>
      <c r="BL21" s="1279">
        <v>0</v>
      </c>
      <c r="BM21" s="1279"/>
      <c r="BN21" s="1226"/>
      <c r="BO21" s="1226"/>
      <c r="BR21" s="1181"/>
    </row>
    <row r="22" spans="1:70" s="1211" customFormat="1" ht="12.75" customHeight="1" thickBot="1" x14ac:dyDescent="0.25">
      <c r="A22" s="1239" t="s">
        <v>9</v>
      </c>
      <c r="B22" s="1239"/>
      <c r="C22" s="2156">
        <v>-345306</v>
      </c>
      <c r="D22" s="2157">
        <v>-7.7975112077396574E-2</v>
      </c>
      <c r="E22" s="2152"/>
      <c r="F22" s="2153">
        <v>0</v>
      </c>
      <c r="G22" s="2153">
        <v>0</v>
      </c>
      <c r="H22" s="2153">
        <v>0</v>
      </c>
      <c r="I22" s="2368">
        <v>4083107</v>
      </c>
      <c r="J22" s="2164">
        <v>3424546</v>
      </c>
      <c r="K22" s="2164">
        <v>2763315</v>
      </c>
      <c r="L22" s="2164">
        <v>3981552</v>
      </c>
      <c r="M22" s="2165">
        <v>4428413</v>
      </c>
      <c r="N22" s="2164">
        <v>4369905</v>
      </c>
      <c r="O22" s="2164">
        <v>3930036</v>
      </c>
      <c r="P22" s="2164">
        <v>4719202</v>
      </c>
      <c r="Q22" s="2165">
        <v>4371138</v>
      </c>
      <c r="R22" s="2164">
        <v>5014622</v>
      </c>
      <c r="S22" s="2164">
        <v>4122920</v>
      </c>
      <c r="T22" s="2164">
        <v>4245682</v>
      </c>
      <c r="U22" s="2165">
        <v>5327433</v>
      </c>
      <c r="V22" s="2164">
        <v>4603502</v>
      </c>
      <c r="W22" s="2164">
        <v>4977201</v>
      </c>
      <c r="X22" s="2164">
        <v>5102481</v>
      </c>
      <c r="Y22" s="2165">
        <v>5105838</v>
      </c>
      <c r="Z22" s="2164">
        <v>5762723</v>
      </c>
      <c r="AA22" s="2164">
        <v>4439877</v>
      </c>
      <c r="AB22" s="2164">
        <v>5665166</v>
      </c>
      <c r="AC22" s="2165">
        <v>4429105</v>
      </c>
      <c r="AD22" s="2164">
        <v>5097500</v>
      </c>
      <c r="AE22" s="2164">
        <v>4555884</v>
      </c>
      <c r="AF22" s="2164">
        <v>5261916</v>
      </c>
      <c r="AG22" s="2165">
        <v>3961904</v>
      </c>
      <c r="AH22" s="2164">
        <v>3123848</v>
      </c>
      <c r="AI22" s="2164">
        <v>2583857</v>
      </c>
      <c r="AJ22" s="2164">
        <v>3407005</v>
      </c>
      <c r="AK22" s="2165">
        <v>2184790</v>
      </c>
      <c r="AL22" s="2164">
        <v>2022099</v>
      </c>
      <c r="AM22" s="2166">
        <v>1679685</v>
      </c>
      <c r="AN22" s="2164">
        <v>1942070</v>
      </c>
      <c r="AO22" s="2165">
        <v>2333893</v>
      </c>
      <c r="AP22" s="2167">
        <v>2098718</v>
      </c>
      <c r="AQ22" s="2165">
        <v>1972741</v>
      </c>
      <c r="AR22" s="2165">
        <v>2525725</v>
      </c>
      <c r="AS22" s="2165">
        <v>2693627</v>
      </c>
      <c r="AT22" s="2167">
        <v>2609942</v>
      </c>
      <c r="AU22" s="2165">
        <v>1794143</v>
      </c>
      <c r="AV22" s="2165">
        <v>1665413</v>
      </c>
      <c r="AW22" s="2165">
        <v>1789397</v>
      </c>
      <c r="AX22" s="2168"/>
      <c r="AY22" s="2169">
        <v>3424546</v>
      </c>
      <c r="AZ22" s="2169">
        <v>4369905</v>
      </c>
      <c r="BA22" s="2169">
        <v>5014622</v>
      </c>
      <c r="BB22" s="2169">
        <v>4603502</v>
      </c>
      <c r="BC22" s="2169">
        <v>5762723</v>
      </c>
      <c r="BD22" s="2169">
        <v>5097500</v>
      </c>
      <c r="BE22" s="2169">
        <v>3123848</v>
      </c>
      <c r="BF22" s="2169">
        <v>2022099</v>
      </c>
      <c r="BG22" s="979">
        <v>1101749</v>
      </c>
      <c r="BH22" s="1056">
        <v>0.54485413424367457</v>
      </c>
      <c r="BI22" s="2167">
        <v>2098718</v>
      </c>
      <c r="BJ22" s="2167">
        <v>2609942</v>
      </c>
      <c r="BK22" s="2170">
        <v>2177973</v>
      </c>
      <c r="BL22" s="2170">
        <v>1638165</v>
      </c>
      <c r="BM22" s="2170">
        <v>1508366</v>
      </c>
      <c r="BN22" s="2171"/>
      <c r="BO22" s="2171"/>
      <c r="BR22" s="1402"/>
    </row>
    <row r="23" spans="1:70" ht="12.75" customHeight="1" thickTop="1" x14ac:dyDescent="0.2">
      <c r="A23" s="1235"/>
      <c r="B23" s="1235"/>
      <c r="C23" s="1483"/>
      <c r="D23" s="1056"/>
      <c r="E23" s="1394"/>
      <c r="F23" s="1400"/>
      <c r="G23" s="1400"/>
      <c r="H23" s="1400"/>
      <c r="I23" s="2303"/>
      <c r="J23" s="1478"/>
      <c r="K23" s="1478"/>
      <c r="L23" s="1478"/>
      <c r="M23" s="1477"/>
      <c r="N23" s="1478"/>
      <c r="O23" s="1478"/>
      <c r="P23" s="1478"/>
      <c r="Q23" s="1477"/>
      <c r="R23" s="1478"/>
      <c r="S23" s="1478"/>
      <c r="T23" s="1478"/>
      <c r="U23" s="1477"/>
      <c r="V23" s="1478"/>
      <c r="W23" s="1478"/>
      <c r="X23" s="1478"/>
      <c r="Y23" s="1477"/>
      <c r="Z23" s="1478"/>
      <c r="AA23" s="1478"/>
      <c r="AB23" s="1478"/>
      <c r="AC23" s="1477"/>
      <c r="AD23" s="1478"/>
      <c r="AE23" s="1478"/>
      <c r="AF23" s="1478"/>
      <c r="AG23" s="1477"/>
      <c r="AH23" s="1478"/>
      <c r="AI23" s="1478"/>
      <c r="AJ23" s="1478"/>
      <c r="AK23" s="1477"/>
      <c r="AL23" s="1478"/>
      <c r="AM23" s="1478"/>
      <c r="AN23" s="1478"/>
      <c r="AO23" s="1477"/>
      <c r="AP23" s="1447"/>
      <c r="AQ23" s="1477"/>
      <c r="AR23" s="1477"/>
      <c r="AS23" s="1477"/>
      <c r="AT23" s="1447"/>
      <c r="AU23" s="1477"/>
      <c r="AV23" s="1477"/>
      <c r="AW23" s="1477"/>
      <c r="AX23" s="1447"/>
      <c r="AY23" s="1060"/>
      <c r="AZ23" s="1060"/>
      <c r="BA23" s="1060"/>
      <c r="BB23" s="1060"/>
      <c r="BC23" s="1060"/>
      <c r="BD23" s="1059"/>
      <c r="BE23" s="1060"/>
      <c r="BF23" s="1060"/>
      <c r="BG23" s="979">
        <v>0</v>
      </c>
      <c r="BH23" s="1056" t="e">
        <v>#DIV/0!</v>
      </c>
      <c r="BI23" s="1447"/>
      <c r="BJ23" s="1447"/>
      <c r="BK23" s="1279"/>
      <c r="BL23" s="1279"/>
      <c r="BM23" s="1279"/>
      <c r="BN23" s="1226"/>
      <c r="BO23" s="1226"/>
      <c r="BR23" s="1181"/>
    </row>
    <row r="24" spans="1:70" ht="12.75" customHeight="1" x14ac:dyDescent="0.2">
      <c r="A24" s="1239" t="s">
        <v>250</v>
      </c>
      <c r="B24" s="1235"/>
      <c r="C24" s="1483"/>
      <c r="D24" s="1056"/>
      <c r="E24" s="1394"/>
      <c r="F24" s="1400"/>
      <c r="G24" s="1400"/>
      <c r="H24" s="1400"/>
      <c r="I24" s="2303"/>
      <c r="J24" s="1478"/>
      <c r="K24" s="1478"/>
      <c r="L24" s="1478"/>
      <c r="M24" s="1477"/>
      <c r="N24" s="1478"/>
      <c r="O24" s="1478"/>
      <c r="P24" s="1478"/>
      <c r="Q24" s="1477"/>
      <c r="R24" s="1478"/>
      <c r="S24" s="1478"/>
      <c r="T24" s="1478"/>
      <c r="U24" s="1477"/>
      <c r="V24" s="1478"/>
      <c r="W24" s="1478"/>
      <c r="X24" s="1478"/>
      <c r="Y24" s="1477"/>
      <c r="Z24" s="1478"/>
      <c r="AA24" s="1478"/>
      <c r="AB24" s="1478"/>
      <c r="AC24" s="1477"/>
      <c r="AD24" s="1478"/>
      <c r="AE24" s="1478"/>
      <c r="AF24" s="1478"/>
      <c r="AG24" s="1477"/>
      <c r="AH24" s="1478"/>
      <c r="AI24" s="1478"/>
      <c r="AJ24" s="1478"/>
      <c r="AK24" s="1477"/>
      <c r="AL24" s="1478"/>
      <c r="AM24" s="1478"/>
      <c r="AN24" s="1478"/>
      <c r="AO24" s="1477"/>
      <c r="AP24" s="1447"/>
      <c r="AQ24" s="1477"/>
      <c r="AR24" s="1477"/>
      <c r="AS24" s="1477"/>
      <c r="AT24" s="1447"/>
      <c r="AU24" s="1477"/>
      <c r="AV24" s="1477"/>
      <c r="AW24" s="1477"/>
      <c r="AX24" s="1447"/>
      <c r="AY24" s="1060"/>
      <c r="AZ24" s="1060"/>
      <c r="BA24" s="1060"/>
      <c r="BB24" s="1060"/>
      <c r="BC24" s="1060"/>
      <c r="BD24" s="1059"/>
      <c r="BE24" s="1060"/>
      <c r="BF24" s="1060"/>
      <c r="BG24" s="979">
        <v>0</v>
      </c>
      <c r="BH24" s="1056" t="e">
        <v>#DIV/0!</v>
      </c>
      <c r="BI24" s="1447"/>
      <c r="BJ24" s="1447"/>
      <c r="BK24" s="1279"/>
      <c r="BL24" s="1279"/>
      <c r="BM24" s="1279"/>
      <c r="BN24" s="1226"/>
      <c r="BO24" s="1226"/>
      <c r="BR24" s="1181"/>
    </row>
    <row r="25" spans="1:70" ht="12.75" customHeight="1" x14ac:dyDescent="0.2">
      <c r="A25" s="1235"/>
      <c r="B25" s="1235" t="s">
        <v>103</v>
      </c>
      <c r="C25" s="979">
        <v>89878</v>
      </c>
      <c r="D25" s="1056" t="s">
        <v>458</v>
      </c>
      <c r="E25" s="2154"/>
      <c r="F25" s="931"/>
      <c r="G25" s="931"/>
      <c r="H25" s="931"/>
      <c r="I25" s="2295">
        <v>89878</v>
      </c>
      <c r="J25" s="1025">
        <v>14910</v>
      </c>
      <c r="K25" s="1025">
        <v>21491</v>
      </c>
      <c r="L25" s="1025">
        <v>21360</v>
      </c>
      <c r="M25" s="2161">
        <v>0</v>
      </c>
      <c r="N25" s="1025">
        <v>20264</v>
      </c>
      <c r="O25" s="1025">
        <v>0</v>
      </c>
      <c r="P25" s="1025">
        <v>0</v>
      </c>
      <c r="Q25" s="2161">
        <v>0</v>
      </c>
      <c r="R25" s="1028">
        <v>0</v>
      </c>
      <c r="S25" s="1025">
        <v>85080</v>
      </c>
      <c r="T25" s="1025">
        <v>83430</v>
      </c>
      <c r="U25" s="1477">
        <v>84185</v>
      </c>
      <c r="V25" s="1028">
        <v>66138</v>
      </c>
      <c r="W25" s="1178">
        <v>0</v>
      </c>
      <c r="X25" s="1025">
        <v>29475</v>
      </c>
      <c r="Y25" s="1477">
        <v>84536</v>
      </c>
      <c r="Z25" s="1478">
        <v>75141</v>
      </c>
      <c r="AA25" s="1178">
        <v>0</v>
      </c>
      <c r="AB25" s="1178">
        <v>0</v>
      </c>
      <c r="AC25" s="1477">
        <v>24125</v>
      </c>
      <c r="AD25" s="1478">
        <v>13580</v>
      </c>
      <c r="AE25" s="1478">
        <v>34913</v>
      </c>
      <c r="AF25" s="1322">
        <v>64733</v>
      </c>
      <c r="AG25" s="1477">
        <v>82992</v>
      </c>
      <c r="AH25" s="1478">
        <v>29435</v>
      </c>
      <c r="AI25" s="1478">
        <v>44600</v>
      </c>
      <c r="AJ25" s="1322">
        <v>85600</v>
      </c>
      <c r="AK25" s="1477">
        <v>105788</v>
      </c>
      <c r="AL25" s="1478">
        <v>75600</v>
      </c>
      <c r="AM25" s="1478">
        <v>39040</v>
      </c>
      <c r="AN25" s="1322">
        <v>6854</v>
      </c>
      <c r="AO25" s="2161">
        <v>0</v>
      </c>
      <c r="AP25" s="1447">
        <v>15038</v>
      </c>
      <c r="AQ25" s="2161">
        <v>0</v>
      </c>
      <c r="AR25" s="1477">
        <v>48130</v>
      </c>
      <c r="AS25" s="1477">
        <v>2265</v>
      </c>
      <c r="AT25" s="2162">
        <v>0</v>
      </c>
      <c r="AU25" s="2161">
        <v>0</v>
      </c>
      <c r="AV25" s="2161">
        <v>0</v>
      </c>
      <c r="AW25" s="1477">
        <v>556</v>
      </c>
      <c r="AX25" s="1447"/>
      <c r="AY25" s="1060">
        <v>14910</v>
      </c>
      <c r="AZ25" s="1060">
        <v>20264</v>
      </c>
      <c r="BA25" s="1060">
        <v>0</v>
      </c>
      <c r="BB25" s="1060">
        <v>66138</v>
      </c>
      <c r="BC25" s="1060">
        <v>75141</v>
      </c>
      <c r="BD25" s="1059">
        <v>13580</v>
      </c>
      <c r="BE25" s="1060">
        <v>29435</v>
      </c>
      <c r="BF25" s="1060">
        <v>75600</v>
      </c>
      <c r="BG25" s="979">
        <v>-46165</v>
      </c>
      <c r="BH25" s="1056">
        <v>-0.61064814814814816</v>
      </c>
      <c r="BI25" s="1447">
        <v>15038</v>
      </c>
      <c r="BJ25" s="2161">
        <v>0</v>
      </c>
      <c r="BK25" s="1279">
        <v>4684</v>
      </c>
      <c r="BL25" s="1279">
        <v>0</v>
      </c>
      <c r="BM25" s="1279">
        <v>2541</v>
      </c>
      <c r="BN25" s="1226"/>
      <c r="BO25" s="1226"/>
      <c r="BR25" s="1181"/>
    </row>
    <row r="26" spans="1:70" s="1211" customFormat="1" ht="12.75" customHeight="1" x14ac:dyDescent="0.2">
      <c r="A26" s="1235"/>
      <c r="B26" s="1235" t="s">
        <v>261</v>
      </c>
      <c r="C26" s="979">
        <v>0</v>
      </c>
      <c r="D26" s="1056" t="s">
        <v>458</v>
      </c>
      <c r="E26" s="1394"/>
      <c r="F26" s="962"/>
      <c r="G26" s="962"/>
      <c r="H26" s="962"/>
      <c r="I26" s="2367">
        <v>0</v>
      </c>
      <c r="J26" s="1178">
        <v>0</v>
      </c>
      <c r="K26" s="1178">
        <v>0</v>
      </c>
      <c r="L26" s="1178">
        <v>0</v>
      </c>
      <c r="M26" s="2161">
        <v>0</v>
      </c>
      <c r="N26" s="1178">
        <v>0</v>
      </c>
      <c r="O26" s="1178">
        <v>0</v>
      </c>
      <c r="P26" s="1178">
        <v>0</v>
      </c>
      <c r="Q26" s="2161">
        <v>0</v>
      </c>
      <c r="R26" s="1025">
        <v>0</v>
      </c>
      <c r="S26" s="1178">
        <v>0</v>
      </c>
      <c r="T26" s="1178">
        <v>0</v>
      </c>
      <c r="U26" s="2161">
        <v>0</v>
      </c>
      <c r="V26" s="1025">
        <v>0</v>
      </c>
      <c r="W26" s="1178">
        <v>0</v>
      </c>
      <c r="X26" s="1178">
        <v>0</v>
      </c>
      <c r="Y26" s="2161">
        <v>0</v>
      </c>
      <c r="Z26" s="1322">
        <v>150000</v>
      </c>
      <c r="AA26" s="1178">
        <v>0</v>
      </c>
      <c r="AB26" s="1178">
        <v>0</v>
      </c>
      <c r="AC26" s="2161">
        <v>0</v>
      </c>
      <c r="AD26" s="1178">
        <v>0</v>
      </c>
      <c r="AE26" s="1178">
        <v>0</v>
      </c>
      <c r="AF26" s="1178">
        <v>0</v>
      </c>
      <c r="AG26" s="2161">
        <v>0</v>
      </c>
      <c r="AH26" s="1178">
        <v>0</v>
      </c>
      <c r="AI26" s="1178"/>
      <c r="AJ26" s="1178"/>
      <c r="AK26" s="2161"/>
      <c r="AL26" s="1178"/>
      <c r="AM26" s="1178"/>
      <c r="AN26" s="1178"/>
      <c r="AO26" s="2161"/>
      <c r="AP26" s="2162"/>
      <c r="AQ26" s="2161"/>
      <c r="AR26" s="2161"/>
      <c r="AS26" s="2161"/>
      <c r="AT26" s="2162"/>
      <c r="AU26" s="2161"/>
      <c r="AV26" s="2161"/>
      <c r="AW26" s="2161"/>
      <c r="AX26" s="1447"/>
      <c r="AY26" s="1060">
        <v>0</v>
      </c>
      <c r="AZ26" s="1060">
        <v>0</v>
      </c>
      <c r="BA26" s="1060">
        <v>0</v>
      </c>
      <c r="BB26" s="1060">
        <v>0</v>
      </c>
      <c r="BC26" s="1060">
        <v>150000</v>
      </c>
      <c r="BD26" s="1054">
        <v>0</v>
      </c>
      <c r="BE26" s="1054">
        <v>0</v>
      </c>
      <c r="BF26" s="1054">
        <v>0</v>
      </c>
      <c r="BG26" s="979"/>
      <c r="BH26" s="1056"/>
      <c r="BI26" s="2162">
        <v>0</v>
      </c>
      <c r="BJ26" s="2161"/>
      <c r="BK26" s="1279"/>
      <c r="BL26" s="1279"/>
      <c r="BM26" s="1279"/>
      <c r="BN26" s="2171"/>
      <c r="BO26" s="2171"/>
      <c r="BR26" s="1402"/>
    </row>
    <row r="27" spans="1:70" ht="12.75" customHeight="1" x14ac:dyDescent="0.2">
      <c r="A27" s="1235"/>
      <c r="B27" s="1235" t="s">
        <v>280</v>
      </c>
      <c r="C27" s="1476">
        <v>-52738</v>
      </c>
      <c r="D27" s="1056">
        <v>-8.3261367565357278E-2</v>
      </c>
      <c r="E27" s="1394"/>
      <c r="F27" s="1400"/>
      <c r="G27" s="1400"/>
      <c r="H27" s="1400"/>
      <c r="I27" s="2303">
        <v>580665</v>
      </c>
      <c r="J27" s="1478">
        <v>427435</v>
      </c>
      <c r="K27" s="1478">
        <v>400175</v>
      </c>
      <c r="L27" s="1478">
        <v>618872</v>
      </c>
      <c r="M27" s="1477">
        <v>633403</v>
      </c>
      <c r="N27" s="1478">
        <v>654639</v>
      </c>
      <c r="O27" s="1478">
        <v>839826</v>
      </c>
      <c r="P27" s="1478">
        <v>777237</v>
      </c>
      <c r="Q27" s="1477">
        <v>564166</v>
      </c>
      <c r="R27" s="1478">
        <v>913913</v>
      </c>
      <c r="S27" s="1478">
        <v>816037</v>
      </c>
      <c r="T27" s="1478">
        <v>718815</v>
      </c>
      <c r="U27" s="1477">
        <v>1215685</v>
      </c>
      <c r="V27" s="1478">
        <v>689020</v>
      </c>
      <c r="W27" s="1478">
        <v>1193043</v>
      </c>
      <c r="X27" s="1478">
        <v>847665</v>
      </c>
      <c r="Y27" s="1477">
        <v>1036535</v>
      </c>
      <c r="Z27" s="1478">
        <v>914649</v>
      </c>
      <c r="AA27" s="1478">
        <v>952750</v>
      </c>
      <c r="AB27" s="1478">
        <v>1117268</v>
      </c>
      <c r="AC27" s="1477">
        <v>731730</v>
      </c>
      <c r="AD27" s="1478">
        <v>722613</v>
      </c>
      <c r="AE27" s="1478">
        <v>853869</v>
      </c>
      <c r="AF27" s="1478">
        <v>1236229</v>
      </c>
      <c r="AG27" s="1477">
        <v>702976</v>
      </c>
      <c r="AH27" s="1478">
        <v>364137</v>
      </c>
      <c r="AI27" s="1478">
        <v>324877</v>
      </c>
      <c r="AJ27" s="1478">
        <v>382209</v>
      </c>
      <c r="AK27" s="1477">
        <v>56318</v>
      </c>
      <c r="AL27" s="1478">
        <v>79426</v>
      </c>
      <c r="AM27" s="1478">
        <v>62151</v>
      </c>
      <c r="AN27" s="1478">
        <v>15194</v>
      </c>
      <c r="AO27" s="1477">
        <v>32227</v>
      </c>
      <c r="AP27" s="1447">
        <v>13757</v>
      </c>
      <c r="AQ27" s="1477">
        <v>96383</v>
      </c>
      <c r="AR27" s="1477">
        <v>48784</v>
      </c>
      <c r="AS27" s="1477">
        <v>85222</v>
      </c>
      <c r="AT27" s="1447">
        <v>41176</v>
      </c>
      <c r="AU27" s="1477">
        <v>54467</v>
      </c>
      <c r="AV27" s="1477">
        <v>25926</v>
      </c>
      <c r="AW27" s="1477">
        <v>109923</v>
      </c>
      <c r="AX27" s="1447"/>
      <c r="AY27" s="1060">
        <v>427435</v>
      </c>
      <c r="AZ27" s="1060">
        <v>654639</v>
      </c>
      <c r="BA27" s="1060">
        <v>913913</v>
      </c>
      <c r="BB27" s="1060">
        <v>689020</v>
      </c>
      <c r="BC27" s="1060">
        <v>914649</v>
      </c>
      <c r="BD27" s="1059">
        <v>722613</v>
      </c>
      <c r="BE27" s="1060">
        <v>364137</v>
      </c>
      <c r="BF27" s="1060">
        <v>79426</v>
      </c>
      <c r="BG27" s="979">
        <v>284711</v>
      </c>
      <c r="BH27" s="1056">
        <v>3.5846070556241028</v>
      </c>
      <c r="BI27" s="1447">
        <v>13757</v>
      </c>
      <c r="BJ27" s="1447">
        <v>41176</v>
      </c>
      <c r="BK27" s="1279">
        <v>37169</v>
      </c>
      <c r="BL27" s="1279">
        <v>105527</v>
      </c>
      <c r="BM27" s="1279">
        <v>281723</v>
      </c>
      <c r="BN27" s="1226"/>
      <c r="BO27" s="1226"/>
      <c r="BR27" s="1181"/>
    </row>
    <row r="28" spans="1:70" s="1211" customFormat="1" ht="12.75" customHeight="1" x14ac:dyDescent="0.2">
      <c r="A28" s="1235"/>
      <c r="B28" s="1235" t="s">
        <v>238</v>
      </c>
      <c r="C28" s="1476">
        <v>26193</v>
      </c>
      <c r="D28" s="1056">
        <v>9.9634828255163749E-3</v>
      </c>
      <c r="E28" s="1394"/>
      <c r="F28" s="1400"/>
      <c r="G28" s="1400"/>
      <c r="H28" s="1400"/>
      <c r="I28" s="2303">
        <v>2655093</v>
      </c>
      <c r="J28" s="1478">
        <v>2203858</v>
      </c>
      <c r="K28" s="1478">
        <v>1518277</v>
      </c>
      <c r="L28" s="1478">
        <v>2176283</v>
      </c>
      <c r="M28" s="1477">
        <v>2628900</v>
      </c>
      <c r="N28" s="1478">
        <v>2541956</v>
      </c>
      <c r="O28" s="1478">
        <v>1948539</v>
      </c>
      <c r="P28" s="1478">
        <v>2756351</v>
      </c>
      <c r="Q28" s="1477">
        <v>2637409</v>
      </c>
      <c r="R28" s="1025">
        <v>2888267</v>
      </c>
      <c r="S28" s="1478">
        <v>2064779</v>
      </c>
      <c r="T28" s="1478">
        <v>2317668</v>
      </c>
      <c r="U28" s="1477">
        <v>2915765</v>
      </c>
      <c r="V28" s="1025">
        <v>2746790</v>
      </c>
      <c r="W28" s="1478">
        <v>2681775</v>
      </c>
      <c r="X28" s="1478">
        <v>3150580</v>
      </c>
      <c r="Y28" s="1477">
        <v>2887434</v>
      </c>
      <c r="Z28" s="1025">
        <v>3590266</v>
      </c>
      <c r="AA28" s="1478">
        <v>2592774</v>
      </c>
      <c r="AB28" s="1478">
        <v>3663323</v>
      </c>
      <c r="AC28" s="1477">
        <v>2802669</v>
      </c>
      <c r="AD28" s="1478">
        <v>3557275</v>
      </c>
      <c r="AE28" s="1478">
        <v>2910423</v>
      </c>
      <c r="AF28" s="1478">
        <v>3257736</v>
      </c>
      <c r="AG28" s="1477">
        <v>2483250</v>
      </c>
      <c r="AH28" s="1478">
        <v>2308146</v>
      </c>
      <c r="AI28" s="1478">
        <v>1794123</v>
      </c>
      <c r="AJ28" s="1478">
        <v>2535971</v>
      </c>
      <c r="AK28" s="1477">
        <v>1622288</v>
      </c>
      <c r="AL28" s="1478">
        <v>1469369</v>
      </c>
      <c r="AM28" s="1478">
        <v>1195533</v>
      </c>
      <c r="AN28" s="1478">
        <v>1480714</v>
      </c>
      <c r="AO28" s="1477">
        <v>1836764</v>
      </c>
      <c r="AP28" s="1447">
        <v>1687479</v>
      </c>
      <c r="AQ28" s="1477">
        <v>1461130</v>
      </c>
      <c r="AR28" s="1477">
        <v>2021498</v>
      </c>
      <c r="AS28" s="1477">
        <v>2189371</v>
      </c>
      <c r="AT28" s="1447">
        <v>2156540</v>
      </c>
      <c r="AU28" s="1477">
        <v>1380767</v>
      </c>
      <c r="AV28" s="1477">
        <v>1311248</v>
      </c>
      <c r="AW28" s="1477">
        <v>1359198</v>
      </c>
      <c r="AX28" s="1447"/>
      <c r="AY28" s="1060">
        <v>2203858</v>
      </c>
      <c r="AZ28" s="1060">
        <v>2541956</v>
      </c>
      <c r="BA28" s="1060">
        <v>2888267</v>
      </c>
      <c r="BB28" s="1060">
        <v>2746790</v>
      </c>
      <c r="BC28" s="1060">
        <v>3590266</v>
      </c>
      <c r="BD28" s="1059">
        <v>3557275</v>
      </c>
      <c r="BE28" s="1060">
        <v>2308146</v>
      </c>
      <c r="BF28" s="1060">
        <v>1469369</v>
      </c>
      <c r="BG28" s="979">
        <v>838777</v>
      </c>
      <c r="BH28" s="1056">
        <v>0.57084163338140381</v>
      </c>
      <c r="BI28" s="1447">
        <v>1687479</v>
      </c>
      <c r="BJ28" s="1447">
        <v>2156540</v>
      </c>
      <c r="BK28" s="1279">
        <v>1832956</v>
      </c>
      <c r="BL28" s="1279">
        <v>1262072</v>
      </c>
      <c r="BM28" s="1279">
        <v>1048395</v>
      </c>
      <c r="BN28" s="2171"/>
      <c r="BO28" s="2171"/>
      <c r="BR28" s="1402"/>
    </row>
    <row r="29" spans="1:70" s="1211" customFormat="1" ht="12.75" customHeight="1" x14ac:dyDescent="0.2">
      <c r="A29" s="1235"/>
      <c r="B29" s="1235" t="s">
        <v>104</v>
      </c>
      <c r="C29" s="979">
        <v>-611</v>
      </c>
      <c r="D29" s="1056">
        <v>-0.12380952380952381</v>
      </c>
      <c r="E29" s="1394"/>
      <c r="F29" s="931"/>
      <c r="G29" s="931"/>
      <c r="H29" s="931"/>
      <c r="I29" s="2295">
        <v>4324</v>
      </c>
      <c r="J29" s="1025">
        <v>4242</v>
      </c>
      <c r="K29" s="1025">
        <v>3838</v>
      </c>
      <c r="L29" s="1025">
        <v>4014</v>
      </c>
      <c r="M29" s="1053">
        <v>4935</v>
      </c>
      <c r="N29" s="1025">
        <v>8172</v>
      </c>
      <c r="O29" s="1025">
        <v>6082</v>
      </c>
      <c r="P29" s="1025">
        <v>11774</v>
      </c>
      <c r="Q29" s="1053">
        <v>10653</v>
      </c>
      <c r="R29" s="1025">
        <v>10822</v>
      </c>
      <c r="S29" s="1025">
        <v>0</v>
      </c>
      <c r="T29" s="1178">
        <v>0</v>
      </c>
      <c r="U29" s="2161">
        <v>0</v>
      </c>
      <c r="V29" s="1025">
        <v>4428</v>
      </c>
      <c r="W29" s="1025">
        <v>2494</v>
      </c>
      <c r="X29" s="1178">
        <v>0</v>
      </c>
      <c r="Y29" s="2161">
        <v>0</v>
      </c>
      <c r="Z29" s="1025">
        <v>0</v>
      </c>
      <c r="AA29" s="1025">
        <v>0</v>
      </c>
      <c r="AB29" s="1178">
        <v>0</v>
      </c>
      <c r="AC29" s="2161">
        <v>0</v>
      </c>
      <c r="AD29" s="1478">
        <v>23977</v>
      </c>
      <c r="AE29" s="1025">
        <v>8668</v>
      </c>
      <c r="AF29" s="1178">
        <v>0</v>
      </c>
      <c r="AG29" s="2161">
        <v>0</v>
      </c>
      <c r="AH29" s="1478">
        <v>5385</v>
      </c>
      <c r="AI29" s="1025">
        <v>4590</v>
      </c>
      <c r="AJ29" s="1178">
        <v>0</v>
      </c>
      <c r="AK29" s="2161">
        <v>0</v>
      </c>
      <c r="AL29" s="1178">
        <v>0</v>
      </c>
      <c r="AM29" s="1178">
        <v>0</v>
      </c>
      <c r="AN29" s="1178">
        <v>0</v>
      </c>
      <c r="AO29" s="2161">
        <v>0</v>
      </c>
      <c r="AP29" s="2162">
        <v>0</v>
      </c>
      <c r="AQ29" s="2161">
        <v>0</v>
      </c>
      <c r="AR29" s="2161">
        <v>0</v>
      </c>
      <c r="AS29" s="1477">
        <v>2528</v>
      </c>
      <c r="AT29" s="1447">
        <v>15035</v>
      </c>
      <c r="AU29" s="1477">
        <v>3681</v>
      </c>
      <c r="AV29" s="1477">
        <v>1150</v>
      </c>
      <c r="AW29" s="1477">
        <v>8522</v>
      </c>
      <c r="AX29" s="1447"/>
      <c r="AY29" s="1060">
        <v>4242</v>
      </c>
      <c r="AZ29" s="1060">
        <v>8172</v>
      </c>
      <c r="BA29" s="1060">
        <v>10822</v>
      </c>
      <c r="BB29" s="1060">
        <v>4428</v>
      </c>
      <c r="BC29" s="1060">
        <v>0</v>
      </c>
      <c r="BD29" s="1059">
        <v>23977</v>
      </c>
      <c r="BE29" s="1054">
        <v>5385</v>
      </c>
      <c r="BF29" s="1054">
        <v>0</v>
      </c>
      <c r="BG29" s="979">
        <v>5385</v>
      </c>
      <c r="BH29" s="1056" t="e">
        <v>#DIV/0!</v>
      </c>
      <c r="BI29" s="2162">
        <v>0</v>
      </c>
      <c r="BJ29" s="1447">
        <v>15035</v>
      </c>
      <c r="BK29" s="1279">
        <v>15334</v>
      </c>
      <c r="BL29" s="1279">
        <v>6737</v>
      </c>
      <c r="BM29" s="1279">
        <v>16905</v>
      </c>
      <c r="BN29" s="2171"/>
      <c r="BO29" s="2171"/>
      <c r="BR29" s="1402"/>
    </row>
    <row r="30" spans="1:70" s="1211" customFormat="1" ht="12.75" customHeight="1" x14ac:dyDescent="0.2">
      <c r="A30" s="1235"/>
      <c r="B30" s="1235" t="s">
        <v>303</v>
      </c>
      <c r="C30" s="979">
        <v>0</v>
      </c>
      <c r="D30" s="1056" t="s">
        <v>458</v>
      </c>
      <c r="E30" s="1394"/>
      <c r="F30" s="931"/>
      <c r="G30" s="931"/>
      <c r="H30" s="931"/>
      <c r="I30" s="2295">
        <v>0</v>
      </c>
      <c r="J30" s="1025">
        <v>0</v>
      </c>
      <c r="K30" s="1025">
        <v>0</v>
      </c>
      <c r="L30" s="1025">
        <v>0</v>
      </c>
      <c r="M30" s="1053">
        <v>0</v>
      </c>
      <c r="N30" s="1025">
        <v>0</v>
      </c>
      <c r="O30" s="1025">
        <v>0</v>
      </c>
      <c r="P30" s="1025">
        <v>0</v>
      </c>
      <c r="Q30" s="1053">
        <v>0</v>
      </c>
      <c r="R30" s="1025">
        <v>0</v>
      </c>
      <c r="S30" s="1025">
        <v>5988</v>
      </c>
      <c r="T30" s="1025">
        <v>14288</v>
      </c>
      <c r="U30" s="1053">
        <v>14218</v>
      </c>
      <c r="V30" s="1025">
        <v>14218</v>
      </c>
      <c r="W30" s="1025">
        <v>14218</v>
      </c>
      <c r="X30" s="1025">
        <v>6000</v>
      </c>
      <c r="Y30" s="2161">
        <v>0</v>
      </c>
      <c r="Z30" s="1025">
        <v>0</v>
      </c>
      <c r="AA30" s="1025">
        <v>0</v>
      </c>
      <c r="AB30" s="1178">
        <v>0</v>
      </c>
      <c r="AC30" s="2161">
        <v>0</v>
      </c>
      <c r="AD30" s="1178">
        <v>0</v>
      </c>
      <c r="AE30" s="1178">
        <v>0</v>
      </c>
      <c r="AF30" s="1178">
        <v>0</v>
      </c>
      <c r="AG30" s="2161"/>
      <c r="AH30" s="1478"/>
      <c r="AI30" s="1025"/>
      <c r="AJ30" s="1178"/>
      <c r="AK30" s="2161"/>
      <c r="AL30" s="1178"/>
      <c r="AM30" s="1178"/>
      <c r="AN30" s="1178"/>
      <c r="AO30" s="2161"/>
      <c r="AP30" s="2162"/>
      <c r="AQ30" s="2161"/>
      <c r="AR30" s="2161"/>
      <c r="AS30" s="1477"/>
      <c r="AT30" s="1447"/>
      <c r="AU30" s="1477"/>
      <c r="AV30" s="1477"/>
      <c r="AW30" s="1477"/>
      <c r="AX30" s="1447"/>
      <c r="AY30" s="1060">
        <v>0</v>
      </c>
      <c r="AZ30" s="1060">
        <v>0</v>
      </c>
      <c r="BA30" s="1060">
        <v>0</v>
      </c>
      <c r="BB30" s="1060">
        <v>14218</v>
      </c>
      <c r="BC30" s="1060">
        <v>0</v>
      </c>
      <c r="BD30" s="1054">
        <v>0</v>
      </c>
      <c r="BE30" s="1054">
        <v>0</v>
      </c>
      <c r="BF30" s="1054">
        <v>0</v>
      </c>
      <c r="BG30" s="2162">
        <v>0</v>
      </c>
      <c r="BH30" s="1056"/>
      <c r="BI30" s="2162">
        <v>0</v>
      </c>
      <c r="BJ30" s="1477"/>
      <c r="BK30" s="1279"/>
      <c r="BL30" s="1279"/>
      <c r="BM30" s="1279"/>
      <c r="BN30" s="2171"/>
      <c r="BO30" s="2171"/>
      <c r="BR30" s="1402"/>
    </row>
    <row r="31" spans="1:70" s="1211" customFormat="1" ht="12.75" customHeight="1" x14ac:dyDescent="0.2">
      <c r="A31" s="1235"/>
      <c r="B31" s="1235" t="s">
        <v>281</v>
      </c>
      <c r="C31" s="979">
        <v>-6545</v>
      </c>
      <c r="D31" s="1056">
        <v>-0.98837209302325579</v>
      </c>
      <c r="E31" s="1394"/>
      <c r="F31" s="931"/>
      <c r="G31" s="931"/>
      <c r="H31" s="931"/>
      <c r="I31" s="2295">
        <v>77</v>
      </c>
      <c r="J31" s="1025">
        <v>450</v>
      </c>
      <c r="K31" s="1025">
        <v>3842</v>
      </c>
      <c r="L31" s="1025">
        <v>6177</v>
      </c>
      <c r="M31" s="1053">
        <v>6622</v>
      </c>
      <c r="N31" s="1025">
        <v>2057</v>
      </c>
      <c r="O31" s="1025">
        <v>3029</v>
      </c>
      <c r="P31" s="1025">
        <v>1899</v>
      </c>
      <c r="Q31" s="1053">
        <v>4796</v>
      </c>
      <c r="R31" s="1025">
        <v>3028</v>
      </c>
      <c r="S31" s="1025">
        <v>4530</v>
      </c>
      <c r="T31" s="1025">
        <v>1493</v>
      </c>
      <c r="U31" s="1053">
        <v>1711</v>
      </c>
      <c r="V31" s="1025">
        <v>2576</v>
      </c>
      <c r="W31" s="1025">
        <v>3575</v>
      </c>
      <c r="X31" s="1025">
        <v>3872</v>
      </c>
      <c r="Y31" s="1053">
        <v>7482</v>
      </c>
      <c r="Z31" s="1025">
        <v>8088</v>
      </c>
      <c r="AA31" s="1025">
        <v>8840</v>
      </c>
      <c r="AB31" s="1025">
        <v>6082</v>
      </c>
      <c r="AC31" s="1053">
        <v>7340</v>
      </c>
      <c r="AD31" s="1025">
        <v>8163</v>
      </c>
      <c r="AE31" s="1025">
        <v>8285</v>
      </c>
      <c r="AF31" s="1025">
        <v>7688</v>
      </c>
      <c r="AG31" s="1053">
        <v>6690</v>
      </c>
      <c r="AH31" s="1178">
        <v>0</v>
      </c>
      <c r="AI31" s="1178">
        <v>0</v>
      </c>
      <c r="AJ31" s="1178">
        <v>0</v>
      </c>
      <c r="AK31" s="2161">
        <v>0</v>
      </c>
      <c r="AL31" s="1178">
        <v>0</v>
      </c>
      <c r="AM31" s="1178">
        <v>0</v>
      </c>
      <c r="AN31" s="1178">
        <v>0</v>
      </c>
      <c r="AO31" s="2161">
        <v>0</v>
      </c>
      <c r="AP31" s="2162">
        <v>0</v>
      </c>
      <c r="AQ31" s="2161">
        <v>0</v>
      </c>
      <c r="AR31" s="2161">
        <v>0</v>
      </c>
      <c r="AS31" s="2161">
        <v>0</v>
      </c>
      <c r="AT31" s="2162">
        <v>0</v>
      </c>
      <c r="AU31" s="2161">
        <v>0</v>
      </c>
      <c r="AV31" s="2161">
        <v>0</v>
      </c>
      <c r="AW31" s="2161">
        <v>0</v>
      </c>
      <c r="AX31" s="1447"/>
      <c r="AY31" s="1060">
        <v>450</v>
      </c>
      <c r="AZ31" s="1060">
        <v>2057</v>
      </c>
      <c r="BA31" s="1060">
        <v>3028</v>
      </c>
      <c r="BB31" s="1060">
        <v>2576</v>
      </c>
      <c r="BC31" s="1060">
        <v>8088</v>
      </c>
      <c r="BD31" s="1059">
        <v>8163</v>
      </c>
      <c r="BE31" s="1054">
        <v>0</v>
      </c>
      <c r="BF31" s="1054">
        <v>0</v>
      </c>
      <c r="BG31" s="979">
        <v>0</v>
      </c>
      <c r="BH31" s="1056" t="e">
        <v>#DIV/0!</v>
      </c>
      <c r="BI31" s="2162">
        <v>0</v>
      </c>
      <c r="BJ31" s="2161">
        <v>0</v>
      </c>
      <c r="BK31" s="1279">
        <v>0</v>
      </c>
      <c r="BL31" s="1279">
        <v>0</v>
      </c>
      <c r="BM31" s="1279">
        <v>973</v>
      </c>
      <c r="BN31" s="2171"/>
      <c r="BO31" s="2171"/>
      <c r="BR31" s="1402"/>
    </row>
    <row r="32" spans="1:70" s="1211" customFormat="1" ht="12.75" customHeight="1" x14ac:dyDescent="0.2">
      <c r="A32" s="1235"/>
      <c r="B32" s="1235" t="s">
        <v>105</v>
      </c>
      <c r="C32" s="979">
        <v>-7500</v>
      </c>
      <c r="D32" s="1056">
        <v>-0.5</v>
      </c>
      <c r="E32" s="1394"/>
      <c r="F32" s="1400"/>
      <c r="G32" s="1400"/>
      <c r="H32" s="1400"/>
      <c r="I32" s="2303">
        <v>7500</v>
      </c>
      <c r="J32" s="1478">
        <v>15000</v>
      </c>
      <c r="K32" s="1478">
        <v>15000</v>
      </c>
      <c r="L32" s="1478">
        <v>15000</v>
      </c>
      <c r="M32" s="1477">
        <v>15000</v>
      </c>
      <c r="N32" s="1478">
        <v>15000</v>
      </c>
      <c r="O32" s="1478">
        <v>15000</v>
      </c>
      <c r="P32" s="1478">
        <v>15000</v>
      </c>
      <c r="Q32" s="1477">
        <v>15000</v>
      </c>
      <c r="R32" s="1478">
        <v>15000</v>
      </c>
      <c r="S32" s="1478">
        <v>15000</v>
      </c>
      <c r="T32" s="1478">
        <v>15000</v>
      </c>
      <c r="U32" s="1477">
        <v>15000</v>
      </c>
      <c r="V32" s="1478">
        <v>15000</v>
      </c>
      <c r="W32" s="1478">
        <v>15000</v>
      </c>
      <c r="X32" s="1478">
        <v>15000</v>
      </c>
      <c r="Y32" s="1477">
        <v>15000</v>
      </c>
      <c r="Z32" s="1478">
        <v>15000</v>
      </c>
      <c r="AA32" s="1478">
        <v>15000</v>
      </c>
      <c r="AB32" s="1478">
        <v>15000</v>
      </c>
      <c r="AC32" s="1477">
        <v>15000</v>
      </c>
      <c r="AD32" s="1478">
        <v>15000</v>
      </c>
      <c r="AE32" s="1478">
        <v>15000</v>
      </c>
      <c r="AF32" s="1478">
        <v>15000</v>
      </c>
      <c r="AG32" s="1477">
        <v>15000</v>
      </c>
      <c r="AH32" s="1478">
        <v>15000</v>
      </c>
      <c r="AI32" s="1478">
        <v>15000</v>
      </c>
      <c r="AJ32" s="1478">
        <v>15000</v>
      </c>
      <c r="AK32" s="1477">
        <v>15000</v>
      </c>
      <c r="AL32" s="1478">
        <v>25000</v>
      </c>
      <c r="AM32" s="1478">
        <v>25000</v>
      </c>
      <c r="AN32" s="1478">
        <v>25000</v>
      </c>
      <c r="AO32" s="1477">
        <v>25000</v>
      </c>
      <c r="AP32" s="1447">
        <v>25000</v>
      </c>
      <c r="AQ32" s="1477">
        <v>25000</v>
      </c>
      <c r="AR32" s="1477">
        <v>25000</v>
      </c>
      <c r="AS32" s="1477">
        <v>25000</v>
      </c>
      <c r="AT32" s="1447">
        <v>25000</v>
      </c>
      <c r="AU32" s="2161">
        <v>0</v>
      </c>
      <c r="AV32" s="2161">
        <v>0</v>
      </c>
      <c r="AW32" s="2161">
        <v>0</v>
      </c>
      <c r="AX32" s="1447"/>
      <c r="AY32" s="1060">
        <v>15000</v>
      </c>
      <c r="AZ32" s="1060">
        <v>15000</v>
      </c>
      <c r="BA32" s="1060">
        <v>15000</v>
      </c>
      <c r="BB32" s="1060">
        <v>15000</v>
      </c>
      <c r="BC32" s="1060">
        <v>15000</v>
      </c>
      <c r="BD32" s="1059">
        <v>15000</v>
      </c>
      <c r="BE32" s="1060">
        <v>15000</v>
      </c>
      <c r="BF32" s="1060">
        <v>25000</v>
      </c>
      <c r="BG32" s="979">
        <v>-10000</v>
      </c>
      <c r="BH32" s="1056">
        <v>-0.4</v>
      </c>
      <c r="BI32" s="1447">
        <v>25000</v>
      </c>
      <c r="BJ32" s="1447">
        <v>25000</v>
      </c>
      <c r="BK32" s="1279">
        <v>0</v>
      </c>
      <c r="BL32" s="1279">
        <v>0</v>
      </c>
      <c r="BM32" s="1279">
        <v>10000</v>
      </c>
      <c r="BN32" s="2171"/>
      <c r="BO32" s="2171"/>
      <c r="BR32" s="1402"/>
    </row>
    <row r="33" spans="1:70" s="1211" customFormat="1" ht="12.75" customHeight="1" x14ac:dyDescent="0.2">
      <c r="A33" s="1235"/>
      <c r="B33" s="1235" t="s">
        <v>407</v>
      </c>
      <c r="C33" s="979">
        <v>-1692</v>
      </c>
      <c r="D33" s="1056">
        <v>-0.1460635359116022</v>
      </c>
      <c r="E33" s="1394"/>
      <c r="F33" s="931"/>
      <c r="G33" s="931"/>
      <c r="H33" s="931"/>
      <c r="I33" s="2295">
        <v>9892</v>
      </c>
      <c r="J33" s="1025">
        <v>8722</v>
      </c>
      <c r="K33" s="1025">
        <v>11481</v>
      </c>
      <c r="L33" s="1025">
        <v>11361</v>
      </c>
      <c r="M33" s="1053">
        <v>11584</v>
      </c>
      <c r="N33" s="1025">
        <v>10275</v>
      </c>
      <c r="O33" s="1025">
        <v>9608</v>
      </c>
      <c r="P33" s="1025">
        <v>15130</v>
      </c>
      <c r="Q33" s="1053">
        <v>15821</v>
      </c>
      <c r="R33" s="1025">
        <v>14912</v>
      </c>
      <c r="S33" s="1025">
        <v>12110</v>
      </c>
      <c r="T33" s="1025">
        <v>12375</v>
      </c>
      <c r="U33" s="1053">
        <v>12244</v>
      </c>
      <c r="V33" s="1025">
        <v>16169</v>
      </c>
      <c r="W33" s="1025">
        <v>15913</v>
      </c>
      <c r="X33" s="1025">
        <v>16047</v>
      </c>
      <c r="Y33" s="1053">
        <v>16882</v>
      </c>
      <c r="Z33" s="1025">
        <v>17454</v>
      </c>
      <c r="AA33" s="1025">
        <v>18218</v>
      </c>
      <c r="AB33" s="1178">
        <v>0</v>
      </c>
      <c r="AC33" s="2161">
        <v>0</v>
      </c>
      <c r="AD33" s="1178">
        <v>0</v>
      </c>
      <c r="AE33" s="1178">
        <v>0</v>
      </c>
      <c r="AF33" s="1178">
        <v>0</v>
      </c>
      <c r="AG33" s="2161">
        <v>0</v>
      </c>
      <c r="AH33" s="1178">
        <v>0</v>
      </c>
      <c r="AI33" s="1178">
        <v>0</v>
      </c>
      <c r="AJ33" s="1478"/>
      <c r="AK33" s="1477"/>
      <c r="AL33" s="1478"/>
      <c r="AM33" s="1478"/>
      <c r="AN33" s="1478"/>
      <c r="AO33" s="1477"/>
      <c r="AP33" s="1447"/>
      <c r="AQ33" s="1477"/>
      <c r="AR33" s="1477"/>
      <c r="AS33" s="1477"/>
      <c r="AT33" s="1447"/>
      <c r="AU33" s="2161"/>
      <c r="AV33" s="2161"/>
      <c r="AW33" s="2161"/>
      <c r="AX33" s="1447"/>
      <c r="AY33" s="1060">
        <v>8722</v>
      </c>
      <c r="AZ33" s="1060">
        <v>10275</v>
      </c>
      <c r="BA33" s="1060">
        <v>14912</v>
      </c>
      <c r="BB33" s="1060">
        <v>16169</v>
      </c>
      <c r="BC33" s="1060">
        <v>17454</v>
      </c>
      <c r="BD33" s="1053">
        <v>0</v>
      </c>
      <c r="BE33" s="1054">
        <v>0</v>
      </c>
      <c r="BF33" s="1054">
        <v>0</v>
      </c>
      <c r="BG33" s="979">
        <v>0</v>
      </c>
      <c r="BH33" s="1056" t="e">
        <v>#DIV/0!</v>
      </c>
      <c r="BI33" s="2162">
        <v>0</v>
      </c>
      <c r="BJ33" s="2161">
        <v>0</v>
      </c>
      <c r="BK33" s="1279"/>
      <c r="BL33" s="1279"/>
      <c r="BM33" s="1279"/>
      <c r="BN33" s="2171"/>
      <c r="BO33" s="2171"/>
      <c r="BR33" s="1402"/>
    </row>
    <row r="34" spans="1:70" s="1211" customFormat="1" ht="12.75" customHeight="1" x14ac:dyDescent="0.2">
      <c r="A34" s="1235"/>
      <c r="B34" s="1235" t="s">
        <v>106</v>
      </c>
      <c r="C34" s="1476">
        <v>-392291</v>
      </c>
      <c r="D34" s="1056">
        <v>-0.34778526714829927</v>
      </c>
      <c r="E34" s="1394"/>
      <c r="F34" s="1400"/>
      <c r="G34" s="1400"/>
      <c r="H34" s="1400"/>
      <c r="I34" s="2303">
        <v>735678</v>
      </c>
      <c r="J34" s="1478">
        <v>749929</v>
      </c>
      <c r="K34" s="1478">
        <v>789211</v>
      </c>
      <c r="L34" s="1478">
        <v>1128485</v>
      </c>
      <c r="M34" s="1477">
        <v>1127969</v>
      </c>
      <c r="N34" s="1478">
        <v>1117542</v>
      </c>
      <c r="O34" s="1478">
        <v>1107952</v>
      </c>
      <c r="P34" s="1478">
        <v>1141811</v>
      </c>
      <c r="Q34" s="1477">
        <v>1123293</v>
      </c>
      <c r="R34" s="1478">
        <v>1168680</v>
      </c>
      <c r="S34" s="1478">
        <v>1119396</v>
      </c>
      <c r="T34" s="1478">
        <v>1082613</v>
      </c>
      <c r="U34" s="1477">
        <v>1068625</v>
      </c>
      <c r="V34" s="1478">
        <v>1049163</v>
      </c>
      <c r="W34" s="1478">
        <v>1051183</v>
      </c>
      <c r="X34" s="1478">
        <v>1033842</v>
      </c>
      <c r="Y34" s="1477">
        <v>1057969</v>
      </c>
      <c r="Z34" s="1478">
        <v>992125</v>
      </c>
      <c r="AA34" s="1478">
        <v>852295</v>
      </c>
      <c r="AB34" s="1478">
        <v>863493</v>
      </c>
      <c r="AC34" s="1477">
        <v>848241</v>
      </c>
      <c r="AD34" s="1478">
        <v>756892</v>
      </c>
      <c r="AE34" s="1478">
        <v>724726</v>
      </c>
      <c r="AF34" s="1478">
        <v>680530</v>
      </c>
      <c r="AG34" s="1477">
        <v>670996</v>
      </c>
      <c r="AH34" s="1478">
        <v>401745</v>
      </c>
      <c r="AI34" s="1478">
        <v>400667</v>
      </c>
      <c r="AJ34" s="1478">
        <v>388225</v>
      </c>
      <c r="AK34" s="1477">
        <v>385396</v>
      </c>
      <c r="AL34" s="1478">
        <v>372704</v>
      </c>
      <c r="AM34" s="1478">
        <v>357961</v>
      </c>
      <c r="AN34" s="1478">
        <v>414308</v>
      </c>
      <c r="AO34" s="1477">
        <v>439902</v>
      </c>
      <c r="AP34" s="1447">
        <v>357444</v>
      </c>
      <c r="AQ34" s="1477">
        <v>390228</v>
      </c>
      <c r="AR34" s="1477">
        <v>382313</v>
      </c>
      <c r="AS34" s="1477">
        <v>389241</v>
      </c>
      <c r="AT34" s="1447">
        <v>372191</v>
      </c>
      <c r="AU34" s="1477">
        <v>355228</v>
      </c>
      <c r="AV34" s="1477">
        <v>327089</v>
      </c>
      <c r="AW34" s="1477">
        <v>311198</v>
      </c>
      <c r="AX34" s="1447"/>
      <c r="AY34" s="1060">
        <v>749929</v>
      </c>
      <c r="AZ34" s="1060">
        <v>1117542</v>
      </c>
      <c r="BA34" s="1060">
        <v>1168680</v>
      </c>
      <c r="BB34" s="1060">
        <v>1049163</v>
      </c>
      <c r="BC34" s="1060">
        <v>992125</v>
      </c>
      <c r="BD34" s="1059">
        <v>756892</v>
      </c>
      <c r="BE34" s="1060">
        <v>401745</v>
      </c>
      <c r="BF34" s="1060">
        <v>372704</v>
      </c>
      <c r="BG34" s="979">
        <v>29041</v>
      </c>
      <c r="BH34" s="1056">
        <v>7.7919743281531728E-2</v>
      </c>
      <c r="BI34" s="1447">
        <v>357444</v>
      </c>
      <c r="BJ34" s="1447">
        <v>372191</v>
      </c>
      <c r="BK34" s="1279">
        <v>287830</v>
      </c>
      <c r="BL34" s="1279">
        <v>222211</v>
      </c>
      <c r="BM34" s="1279">
        <v>98687</v>
      </c>
      <c r="BN34" s="2171"/>
      <c r="BO34" s="2171"/>
      <c r="BR34" s="1402"/>
    </row>
    <row r="35" spans="1:70" s="1211" customFormat="1" ht="12.75" customHeight="1" thickBot="1" x14ac:dyDescent="0.25">
      <c r="A35" s="1239" t="s">
        <v>249</v>
      </c>
      <c r="B35" s="1239"/>
      <c r="C35" s="2156">
        <v>-345306</v>
      </c>
      <c r="D35" s="2157">
        <v>-7.7975112077396574E-2</v>
      </c>
      <c r="E35" s="2152"/>
      <c r="F35" s="2153">
        <v>0</v>
      </c>
      <c r="G35" s="2153">
        <v>0</v>
      </c>
      <c r="H35" s="2153">
        <v>0</v>
      </c>
      <c r="I35" s="2368">
        <v>4083107</v>
      </c>
      <c r="J35" s="2164">
        <v>3424546</v>
      </c>
      <c r="K35" s="2164">
        <v>2763315</v>
      </c>
      <c r="L35" s="2164">
        <v>3981552</v>
      </c>
      <c r="M35" s="2165">
        <v>4428413</v>
      </c>
      <c r="N35" s="2164">
        <v>4369905</v>
      </c>
      <c r="O35" s="2164">
        <v>3930036</v>
      </c>
      <c r="P35" s="2164">
        <v>4719202</v>
      </c>
      <c r="Q35" s="2165">
        <v>4371138</v>
      </c>
      <c r="R35" s="2164">
        <v>5014622</v>
      </c>
      <c r="S35" s="2164">
        <v>4122920</v>
      </c>
      <c r="T35" s="2164">
        <v>4245682</v>
      </c>
      <c r="U35" s="2165">
        <v>5327433</v>
      </c>
      <c r="V35" s="2164">
        <v>4603502</v>
      </c>
      <c r="W35" s="2164">
        <v>4977201</v>
      </c>
      <c r="X35" s="2164">
        <v>5102481</v>
      </c>
      <c r="Y35" s="2165">
        <v>5105838</v>
      </c>
      <c r="Z35" s="2164">
        <v>5762723</v>
      </c>
      <c r="AA35" s="2164">
        <v>4439877</v>
      </c>
      <c r="AB35" s="2164">
        <v>5665166</v>
      </c>
      <c r="AC35" s="2165">
        <v>4429105</v>
      </c>
      <c r="AD35" s="2164">
        <v>5097500</v>
      </c>
      <c r="AE35" s="2164">
        <v>4555884</v>
      </c>
      <c r="AF35" s="2164">
        <v>5261916</v>
      </c>
      <c r="AG35" s="2165">
        <v>3961904</v>
      </c>
      <c r="AH35" s="2164">
        <v>3123848</v>
      </c>
      <c r="AI35" s="2164">
        <v>2583857</v>
      </c>
      <c r="AJ35" s="2164">
        <v>3407005</v>
      </c>
      <c r="AK35" s="2165">
        <v>2184790</v>
      </c>
      <c r="AL35" s="2164">
        <v>2022099</v>
      </c>
      <c r="AM35" s="2164">
        <v>1679685</v>
      </c>
      <c r="AN35" s="2164">
        <v>1942070</v>
      </c>
      <c r="AO35" s="2165">
        <v>2333893</v>
      </c>
      <c r="AP35" s="2167">
        <v>2098718</v>
      </c>
      <c r="AQ35" s="2165">
        <v>1972741</v>
      </c>
      <c r="AR35" s="2165">
        <v>2525725</v>
      </c>
      <c r="AS35" s="2165">
        <v>2693627</v>
      </c>
      <c r="AT35" s="2167">
        <v>2609942</v>
      </c>
      <c r="AU35" s="2165">
        <v>1794143</v>
      </c>
      <c r="AV35" s="2165">
        <v>1665413</v>
      </c>
      <c r="AW35" s="2165">
        <v>1789397</v>
      </c>
      <c r="AX35" s="2168"/>
      <c r="AY35" s="2169">
        <v>3424546</v>
      </c>
      <c r="AZ35" s="2169">
        <v>4369905</v>
      </c>
      <c r="BA35" s="2169">
        <v>5014622</v>
      </c>
      <c r="BB35" s="2169">
        <v>4603502</v>
      </c>
      <c r="BC35" s="2169">
        <v>5762723</v>
      </c>
      <c r="BD35" s="2172">
        <v>5097500</v>
      </c>
      <c r="BE35" s="2169">
        <v>3123848</v>
      </c>
      <c r="BF35" s="2169">
        <v>2022099</v>
      </c>
      <c r="BG35" s="979">
        <v>1101749</v>
      </c>
      <c r="BH35" s="1056">
        <v>0.54485413424367457</v>
      </c>
      <c r="BI35" s="2167">
        <v>2098718</v>
      </c>
      <c r="BJ35" s="2167">
        <v>2609942</v>
      </c>
      <c r="BK35" s="2170">
        <v>2177973</v>
      </c>
      <c r="BL35" s="2170">
        <v>1638165</v>
      </c>
      <c r="BM35" s="2170">
        <v>1508366</v>
      </c>
      <c r="BN35" s="1325"/>
      <c r="BO35" s="2171"/>
      <c r="BR35" s="1402"/>
    </row>
    <row r="36" spans="1:70" ht="12.75" customHeight="1" thickTop="1" x14ac:dyDescent="0.2">
      <c r="A36" s="1244"/>
      <c r="B36" s="1244"/>
      <c r="C36" s="1028"/>
      <c r="D36" s="975"/>
      <c r="E36" s="926"/>
      <c r="F36" s="926"/>
      <c r="G36" s="926"/>
      <c r="H36" s="926"/>
      <c r="I36" s="926"/>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2173"/>
      <c r="AP36" s="2173"/>
      <c r="AQ36" s="2173"/>
      <c r="AR36" s="2173"/>
      <c r="AS36" s="2173"/>
      <c r="AT36" s="2173"/>
      <c r="AU36" s="2173"/>
      <c r="AV36" s="2173"/>
      <c r="AW36" s="2173"/>
      <c r="AX36" s="2012"/>
      <c r="AY36" s="2012"/>
      <c r="AZ36" s="2012"/>
      <c r="BA36" s="1517"/>
      <c r="BB36" s="1517"/>
      <c r="BC36" s="1517"/>
      <c r="BD36" s="1517"/>
      <c r="BE36" s="1517"/>
      <c r="BF36" s="1517"/>
      <c r="BG36" s="1028"/>
      <c r="BH36" s="975"/>
      <c r="BN36" s="1226"/>
      <c r="BO36" s="1226"/>
      <c r="BR36" s="1181"/>
    </row>
    <row r="37" spans="1:70" ht="12.75" customHeight="1" x14ac:dyDescent="0.2">
      <c r="A37" s="969" t="s">
        <v>381</v>
      </c>
      <c r="B37" s="990"/>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2012"/>
      <c r="AI37" s="2012"/>
      <c r="AJ37" s="2012"/>
      <c r="AK37" s="2012"/>
      <c r="AL37" s="2012"/>
      <c r="AM37" s="2012"/>
      <c r="AN37" s="2012"/>
      <c r="AO37" s="964"/>
      <c r="AP37" s="963"/>
      <c r="AQ37" s="963"/>
      <c r="AR37" s="963"/>
      <c r="AS37" s="964"/>
      <c r="AT37" s="963"/>
      <c r="AU37" s="964"/>
      <c r="AV37" s="964"/>
      <c r="AW37" s="2049"/>
      <c r="AX37" s="2029"/>
      <c r="AY37" s="2029"/>
      <c r="AZ37" s="2029"/>
      <c r="BA37" s="2019"/>
      <c r="BB37" s="2019"/>
      <c r="BC37" s="2019"/>
      <c r="BD37" s="2019"/>
      <c r="BE37" s="2019"/>
      <c r="BF37" s="2019"/>
      <c r="BG37" s="2012"/>
      <c r="BH37" s="2012"/>
      <c r="BM37" s="1226"/>
      <c r="BN37" s="1226"/>
      <c r="BO37" s="1226"/>
    </row>
    <row r="38" spans="1:70" x14ac:dyDescent="0.2">
      <c r="A38" s="989" t="s">
        <v>29</v>
      </c>
      <c r="B38" s="1226"/>
      <c r="C38" s="1517"/>
      <c r="D38" s="1517"/>
      <c r="E38" s="1411"/>
      <c r="F38" s="1411"/>
      <c r="G38" s="1411"/>
      <c r="H38" s="1411"/>
      <c r="I38" s="1411"/>
      <c r="J38" s="1517"/>
      <c r="K38" s="1517"/>
      <c r="L38" s="2174"/>
      <c r="M38" s="1248"/>
      <c r="N38" s="2012"/>
      <c r="O38" s="2012"/>
      <c r="P38" s="2012"/>
      <c r="Q38" s="2012"/>
      <c r="R38" s="2012"/>
      <c r="S38" s="2012"/>
      <c r="T38" s="2012"/>
      <c r="U38" s="2012"/>
      <c r="V38" s="2012"/>
      <c r="W38" s="2012"/>
      <c r="X38" s="2012"/>
      <c r="Y38" s="2012"/>
      <c r="Z38" s="2012"/>
      <c r="AA38" s="2012"/>
      <c r="AB38" s="2012"/>
      <c r="AC38" s="2012"/>
      <c r="AD38" s="2012"/>
      <c r="AE38" s="2012"/>
      <c r="AF38" s="2012"/>
      <c r="AG38" s="1248"/>
      <c r="AH38" s="2012"/>
      <c r="AI38" s="2012"/>
      <c r="AJ38" s="2012"/>
      <c r="AK38" s="2012"/>
      <c r="AL38" s="2012"/>
      <c r="AM38" s="2012"/>
      <c r="AN38" s="2012"/>
      <c r="AO38" s="1041"/>
      <c r="AP38" s="1179"/>
      <c r="AQ38" s="1041"/>
      <c r="AR38" s="963"/>
      <c r="AS38" s="1041"/>
      <c r="AT38" s="1159"/>
      <c r="AU38" s="1159"/>
      <c r="AV38" s="1097"/>
      <c r="AW38" s="2012"/>
      <c r="AX38" s="2029"/>
      <c r="AY38" s="2029"/>
      <c r="AZ38" s="2029"/>
      <c r="BA38" s="2019"/>
      <c r="BB38" s="2019"/>
      <c r="BC38" s="2019"/>
      <c r="BD38" s="2019"/>
      <c r="BE38" s="2019"/>
      <c r="BF38" s="2019"/>
      <c r="BG38" s="1517"/>
      <c r="BH38" s="1517"/>
      <c r="BI38" s="1028"/>
      <c r="BJ38" s="1028"/>
      <c r="BM38" s="1226"/>
      <c r="BN38" s="1226"/>
      <c r="BO38" s="1226"/>
    </row>
    <row r="39" spans="1:70" x14ac:dyDescent="0.2">
      <c r="A39" s="964"/>
      <c r="C39" s="1235"/>
      <c r="D39" s="1235"/>
      <c r="E39" s="1188"/>
      <c r="F39" s="1188"/>
      <c r="G39" s="1188"/>
      <c r="H39" s="1188"/>
      <c r="I39" s="1188"/>
      <c r="J39" s="1251"/>
      <c r="K39" s="1251"/>
      <c r="L39" s="969"/>
      <c r="M39" s="969"/>
      <c r="N39" s="969"/>
      <c r="O39" s="969"/>
      <c r="P39" s="969"/>
      <c r="Q39" s="969"/>
      <c r="R39" s="969"/>
      <c r="S39" s="969"/>
      <c r="T39" s="969"/>
      <c r="U39" s="969"/>
      <c r="V39" s="969"/>
      <c r="W39" s="969"/>
      <c r="X39" s="969"/>
      <c r="Y39" s="969"/>
      <c r="Z39" s="969"/>
      <c r="AA39" s="969"/>
      <c r="AB39" s="969"/>
      <c r="AC39" s="969"/>
      <c r="AD39" s="969"/>
      <c r="AE39" s="969"/>
      <c r="AF39" s="969"/>
      <c r="AG39" s="969"/>
      <c r="AH39" s="969"/>
      <c r="AI39" s="969"/>
      <c r="AJ39" s="969"/>
      <c r="AK39" s="969"/>
      <c r="AL39" s="969"/>
      <c r="AM39" s="969"/>
      <c r="AN39" s="969"/>
      <c r="AO39" s="2012"/>
      <c r="AP39" s="2029"/>
      <c r="AQ39" s="2029"/>
      <c r="AR39" s="2029"/>
      <c r="AS39" s="1478"/>
      <c r="AT39" s="1478"/>
      <c r="AU39" s="1478"/>
      <c r="AV39" s="1478"/>
      <c r="AW39" s="1025"/>
      <c r="AX39" s="1244"/>
      <c r="AY39" s="1244"/>
      <c r="AZ39" s="1244"/>
      <c r="BA39" s="1235"/>
      <c r="BB39" s="1235"/>
      <c r="BC39" s="1235"/>
      <c r="BD39" s="1235"/>
      <c r="BE39" s="1235"/>
      <c r="BF39" s="1235"/>
      <c r="BG39" s="1235"/>
      <c r="BH39" s="1277">
        <f>SUM(BG25:BG32)</f>
        <v>1072708</v>
      </c>
      <c r="BI39" s="1025"/>
      <c r="BJ39" s="1025"/>
      <c r="BM39" s="1226"/>
      <c r="BN39" s="1226"/>
      <c r="BO39" s="1226"/>
    </row>
    <row r="40" spans="1:70" x14ac:dyDescent="0.2">
      <c r="A40" s="969" t="s">
        <v>310</v>
      </c>
      <c r="C40" s="1235"/>
      <c r="D40" s="1235"/>
      <c r="E40" s="1188"/>
      <c r="F40" s="1188"/>
      <c r="G40" s="1188"/>
      <c r="H40" s="1188"/>
      <c r="I40" s="1188"/>
      <c r="J40" s="1251"/>
      <c r="K40" s="1251"/>
      <c r="L40" s="1042"/>
      <c r="M40" s="969"/>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c r="AN40" s="969"/>
      <c r="AO40" s="2012"/>
      <c r="AP40" s="2029"/>
      <c r="AQ40" s="2029"/>
      <c r="AR40" s="2029"/>
      <c r="AS40" s="1478"/>
      <c r="AT40" s="1478"/>
      <c r="AU40" s="1478"/>
      <c r="AV40" s="1478"/>
      <c r="AW40" s="1025"/>
      <c r="AX40" s="1244"/>
      <c r="AY40" s="1244"/>
      <c r="AZ40" s="1244"/>
      <c r="BA40" s="1235"/>
      <c r="BB40" s="1235"/>
      <c r="BC40" s="1235"/>
      <c r="BD40" s="1235"/>
      <c r="BE40" s="1235"/>
      <c r="BF40" s="1235"/>
      <c r="BG40" s="1235"/>
      <c r="BH40" s="1277"/>
      <c r="BI40" s="1025"/>
      <c r="BJ40" s="1025"/>
      <c r="BM40" s="1226"/>
      <c r="BN40" s="1226"/>
      <c r="BO40" s="1226"/>
    </row>
    <row r="41" spans="1:70" x14ac:dyDescent="0.2">
      <c r="C41" s="1235"/>
      <c r="D41" s="1235"/>
      <c r="E41" s="1188"/>
      <c r="F41" s="1188"/>
      <c r="G41" s="1188"/>
      <c r="H41" s="1188"/>
      <c r="I41" s="1188"/>
      <c r="J41" s="1251"/>
      <c r="K41" s="1251"/>
      <c r="L41" s="1322"/>
      <c r="M41" s="1322"/>
      <c r="N41" s="969"/>
      <c r="O41" s="969"/>
      <c r="P41" s="1322"/>
      <c r="Q41" s="1322"/>
      <c r="R41" s="1322"/>
      <c r="S41" s="969"/>
      <c r="T41" s="969"/>
      <c r="U41" s="969"/>
      <c r="V41" s="969"/>
      <c r="W41" s="969"/>
      <c r="X41" s="969"/>
      <c r="Y41" s="969"/>
      <c r="Z41" s="969"/>
      <c r="AA41" s="969"/>
      <c r="AB41" s="969"/>
      <c r="AC41" s="969"/>
      <c r="AD41" s="969"/>
      <c r="AE41" s="969"/>
      <c r="AF41" s="969"/>
      <c r="AG41" s="969"/>
      <c r="AH41" s="969"/>
      <c r="AI41" s="969"/>
      <c r="AJ41" s="969"/>
      <c r="AK41" s="969"/>
      <c r="AL41" s="969"/>
      <c r="AM41" s="969"/>
      <c r="AN41" s="969"/>
      <c r="AO41" s="2012"/>
      <c r="AP41" s="2029"/>
      <c r="AQ41" s="2029"/>
      <c r="AR41" s="2029"/>
      <c r="AS41" s="1478"/>
      <c r="AT41" s="1478"/>
      <c r="AU41" s="1478"/>
      <c r="AV41" s="1478"/>
      <c r="AW41" s="1025"/>
      <c r="AX41" s="1244"/>
      <c r="AY41" s="1244"/>
      <c r="AZ41" s="1244"/>
      <c r="BA41" s="1235"/>
      <c r="BB41" s="1235"/>
      <c r="BC41" s="1235"/>
      <c r="BD41" s="1235"/>
      <c r="BE41" s="1235"/>
      <c r="BF41" s="1235"/>
      <c r="BG41" s="1235"/>
      <c r="BH41" s="1277"/>
      <c r="BI41" s="1025"/>
      <c r="BJ41" s="1025"/>
      <c r="BM41" s="1226"/>
      <c r="BN41" s="1226"/>
      <c r="BO41" s="1226"/>
    </row>
    <row r="42" spans="1:70" x14ac:dyDescent="0.2">
      <c r="B42" s="1235"/>
      <c r="C42" s="1295"/>
      <c r="D42" s="2158"/>
      <c r="E42" s="1188"/>
      <c r="F42" s="1188"/>
      <c r="G42" s="1188"/>
      <c r="H42" s="1188"/>
      <c r="I42" s="1188"/>
      <c r="J42" s="2226"/>
      <c r="K42" s="2226"/>
      <c r="L42" s="969"/>
      <c r="M42" s="969"/>
      <c r="N42" s="1102"/>
      <c r="O42" s="1102"/>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2012"/>
      <c r="AP42" s="2029"/>
      <c r="AQ42" s="2029"/>
      <c r="AR42" s="2029"/>
      <c r="AS42" s="1478"/>
      <c r="AT42" s="1478"/>
      <c r="AU42" s="1478"/>
      <c r="AV42" s="1478"/>
      <c r="AW42" s="1025"/>
      <c r="AX42" s="1244"/>
      <c r="AY42" s="1244"/>
      <c r="AZ42" s="1244"/>
      <c r="BA42" s="1235"/>
      <c r="BB42" s="1235"/>
      <c r="BC42" s="1235"/>
      <c r="BD42" s="1235"/>
      <c r="BE42" s="1235"/>
      <c r="BF42" s="1235"/>
      <c r="BG42" s="1235"/>
      <c r="BH42" s="1277"/>
      <c r="BI42" s="1025"/>
      <c r="BJ42" s="1025"/>
      <c r="BM42" s="1226"/>
      <c r="BN42" s="1226"/>
      <c r="BO42" s="1226"/>
    </row>
    <row r="43" spans="1:70" x14ac:dyDescent="0.2">
      <c r="B43" s="1235"/>
      <c r="C43" s="1295"/>
      <c r="D43" s="2158"/>
      <c r="E43" s="1188"/>
      <c r="F43" s="1188"/>
      <c r="G43" s="1188"/>
      <c r="H43" s="1188"/>
      <c r="I43" s="1188"/>
      <c r="J43" s="1295"/>
      <c r="K43" s="1295"/>
      <c r="L43" s="1322"/>
      <c r="M43" s="1322"/>
      <c r="N43" s="1324"/>
      <c r="O43" s="1324"/>
      <c r="P43" s="1322"/>
      <c r="Q43" s="1322"/>
      <c r="R43" s="1324"/>
      <c r="S43" s="1324"/>
      <c r="T43" s="1322"/>
      <c r="U43" s="1322"/>
      <c r="V43" s="1324"/>
      <c r="W43" s="1324"/>
      <c r="X43" s="1322"/>
      <c r="Y43" s="1322"/>
      <c r="Z43" s="1324"/>
      <c r="AA43" s="1324"/>
      <c r="AB43" s="1322"/>
      <c r="AC43" s="1322"/>
      <c r="AD43" s="1324"/>
      <c r="AE43" s="1324"/>
      <c r="AF43" s="1322"/>
      <c r="AG43" s="969"/>
      <c r="AH43" s="969"/>
      <c r="AI43" s="969"/>
      <c r="AJ43" s="969"/>
      <c r="AK43" s="969"/>
      <c r="AL43" s="969"/>
      <c r="AM43" s="969"/>
      <c r="AN43" s="969"/>
      <c r="AO43" s="963"/>
      <c r="AP43" s="963"/>
      <c r="AQ43" s="963"/>
      <c r="AR43" s="963"/>
      <c r="AS43" s="963"/>
      <c r="AT43" s="963"/>
      <c r="AU43" s="963"/>
      <c r="AV43" s="963"/>
      <c r="AW43" s="1025"/>
      <c r="AX43" s="1244"/>
      <c r="AY43" s="1244"/>
      <c r="AZ43" s="1244"/>
      <c r="BA43" s="1235"/>
      <c r="BB43" s="1235"/>
      <c r="BC43" s="1235"/>
      <c r="BD43" s="1235"/>
      <c r="BE43" s="1235"/>
      <c r="BF43" s="1235"/>
      <c r="BG43" s="1235"/>
      <c r="BH43" s="1235"/>
      <c r="BI43" s="969"/>
      <c r="BJ43" s="969"/>
    </row>
    <row r="44" spans="1:70" x14ac:dyDescent="0.2">
      <c r="B44" s="1235"/>
      <c r="C44" s="1295"/>
      <c r="D44" s="2158"/>
      <c r="E44" s="1188"/>
      <c r="F44" s="1188"/>
      <c r="G44" s="1188"/>
      <c r="H44" s="1188"/>
      <c r="I44" s="1188"/>
      <c r="J44" s="1295"/>
      <c r="K44" s="1295"/>
      <c r="L44" s="1388"/>
      <c r="M44" s="1388"/>
      <c r="N44" s="1324"/>
      <c r="O44" s="1324"/>
      <c r="P44" s="1388"/>
      <c r="Q44" s="1388"/>
      <c r="R44" s="1324"/>
      <c r="S44" s="1324"/>
      <c r="T44" s="1388"/>
      <c r="U44" s="1388"/>
      <c r="V44" s="1324"/>
      <c r="W44" s="1324"/>
      <c r="X44" s="1388"/>
      <c r="Y44" s="1388"/>
      <c r="Z44" s="1324"/>
      <c r="AA44" s="1324"/>
      <c r="AB44" s="1388"/>
      <c r="AC44" s="1388"/>
      <c r="AD44" s="1324"/>
      <c r="AE44" s="1324"/>
      <c r="AF44" s="1388"/>
      <c r="AG44" s="2175"/>
      <c r="AH44" s="2175"/>
      <c r="AI44" s="2175"/>
      <c r="AJ44" s="2175"/>
      <c r="AK44" s="2175"/>
      <c r="AL44" s="2175"/>
      <c r="AM44" s="2175"/>
      <c r="AN44" s="2175"/>
      <c r="AO44" s="2175"/>
      <c r="AP44" s="2175"/>
      <c r="AQ44" s="2175"/>
      <c r="AR44" s="2175"/>
      <c r="AS44" s="2175"/>
      <c r="AT44" s="2175"/>
      <c r="AU44" s="2175"/>
      <c r="AV44" s="2175"/>
      <c r="AW44" s="2175"/>
      <c r="AX44" s="2175"/>
      <c r="AY44" s="2175"/>
      <c r="AZ44" s="2175"/>
      <c r="BA44" s="1558"/>
      <c r="BB44" s="1558"/>
      <c r="BC44" s="1558"/>
      <c r="BD44" s="1558"/>
      <c r="BE44" s="1558"/>
      <c r="BF44" s="1558"/>
      <c r="BG44" s="1235"/>
      <c r="BH44" s="2176"/>
      <c r="BI44" s="1558"/>
      <c r="BJ44" s="1558"/>
      <c r="BK44" s="1558"/>
      <c r="BL44" s="1558"/>
      <c r="BM44" s="1558"/>
      <c r="BN44" s="1226"/>
      <c r="BO44" s="1226"/>
    </row>
    <row r="45" spans="1:70" x14ac:dyDescent="0.2">
      <c r="B45" s="1235"/>
      <c r="C45" s="1295"/>
      <c r="D45" s="2158"/>
      <c r="J45" s="2227"/>
      <c r="K45" s="2227"/>
      <c r="L45" s="1387"/>
      <c r="M45" s="964"/>
      <c r="N45" s="2177"/>
      <c r="O45" s="2177"/>
      <c r="P45" s="964"/>
      <c r="Q45" s="964"/>
      <c r="R45" s="2178"/>
      <c r="S45" s="2177"/>
      <c r="T45" s="964"/>
      <c r="U45" s="964"/>
      <c r="V45" s="2178"/>
      <c r="W45" s="2177"/>
      <c r="X45" s="964"/>
      <c r="Y45" s="964"/>
      <c r="Z45" s="2178"/>
      <c r="AA45" s="2177"/>
      <c r="AB45" s="964"/>
      <c r="AC45" s="964"/>
      <c r="AD45" s="2178"/>
      <c r="AE45" s="2177"/>
      <c r="AF45" s="964"/>
      <c r="AG45" s="964"/>
      <c r="AH45" s="964"/>
      <c r="AI45" s="964"/>
      <c r="AJ45" s="964"/>
      <c r="AK45" s="964"/>
      <c r="AL45" s="964"/>
      <c r="AM45" s="964"/>
      <c r="AN45" s="964"/>
      <c r="AO45" s="963"/>
      <c r="AP45" s="963"/>
      <c r="AQ45" s="963"/>
      <c r="AR45" s="963"/>
      <c r="AS45" s="963"/>
      <c r="AT45" s="963"/>
      <c r="AU45" s="963"/>
      <c r="AV45" s="963"/>
      <c r="AW45" s="1178"/>
      <c r="AX45" s="963"/>
      <c r="AY45" s="963"/>
      <c r="AZ45" s="963"/>
      <c r="BI45" s="964"/>
      <c r="BJ45" s="964"/>
    </row>
    <row r="46" spans="1:70" x14ac:dyDescent="0.2">
      <c r="B46" s="1235"/>
      <c r="C46" s="1295"/>
      <c r="D46" s="2158"/>
      <c r="L46" s="964"/>
      <c r="M46" s="1387"/>
      <c r="N46" s="964"/>
      <c r="O46" s="964"/>
      <c r="P46" s="964"/>
      <c r="Q46" s="1387"/>
      <c r="R46" s="964"/>
      <c r="S46" s="964"/>
      <c r="T46" s="964"/>
      <c r="U46" s="964"/>
      <c r="V46" s="964"/>
      <c r="W46" s="964"/>
      <c r="X46" s="964"/>
      <c r="Y46" s="964"/>
      <c r="Z46" s="964"/>
      <c r="AA46" s="964"/>
      <c r="AB46" s="964"/>
      <c r="AC46" s="964"/>
      <c r="AD46" s="964"/>
      <c r="AE46" s="964"/>
      <c r="AF46" s="964"/>
      <c r="AG46" s="964"/>
      <c r="AH46" s="964"/>
      <c r="AI46" s="964"/>
      <c r="AJ46" s="964"/>
      <c r="AK46" s="964"/>
      <c r="AL46" s="964"/>
      <c r="AM46" s="964"/>
      <c r="AN46" s="964"/>
      <c r="AO46" s="963"/>
      <c r="AP46" s="963"/>
      <c r="AQ46" s="963"/>
      <c r="AR46" s="963"/>
      <c r="AS46" s="963"/>
      <c r="AT46" s="963"/>
      <c r="AU46" s="963"/>
      <c r="AV46" s="963"/>
      <c r="AW46" s="1392"/>
      <c r="AX46" s="963"/>
      <c r="AY46" s="963"/>
      <c r="AZ46" s="963"/>
      <c r="BI46" s="964"/>
      <c r="BJ46" s="964"/>
    </row>
    <row r="47" spans="1:70" x14ac:dyDescent="0.2">
      <c r="B47" s="1235"/>
      <c r="C47" s="1295"/>
      <c r="D47" s="2158"/>
      <c r="J47" s="2228"/>
      <c r="K47" s="2228"/>
      <c r="L47" s="964"/>
      <c r="M47" s="964"/>
      <c r="N47" s="2179"/>
      <c r="O47" s="2179"/>
      <c r="P47" s="964"/>
      <c r="Q47" s="964"/>
      <c r="R47" s="2179"/>
      <c r="S47" s="2179"/>
      <c r="T47" s="964"/>
      <c r="U47" s="964"/>
      <c r="V47" s="2179"/>
      <c r="W47" s="2179"/>
      <c r="X47" s="964"/>
      <c r="Y47" s="964"/>
      <c r="Z47" s="2179"/>
      <c r="AA47" s="2179"/>
      <c r="AB47" s="964"/>
      <c r="AC47" s="964"/>
      <c r="AD47" s="2179"/>
      <c r="AE47" s="2179"/>
      <c r="AF47" s="964"/>
      <c r="AG47" s="964"/>
      <c r="AH47" s="964"/>
      <c r="AI47" s="964"/>
      <c r="AJ47" s="964"/>
      <c r="AK47" s="964"/>
      <c r="AL47" s="964"/>
      <c r="AM47" s="964"/>
      <c r="AN47" s="964"/>
      <c r="AO47" s="963"/>
      <c r="AP47" s="963"/>
      <c r="AQ47" s="963"/>
      <c r="AR47" s="963"/>
      <c r="AS47" s="963"/>
      <c r="AT47" s="963"/>
      <c r="AU47" s="963"/>
      <c r="AV47" s="963"/>
      <c r="AW47" s="964"/>
      <c r="AX47" s="963"/>
      <c r="AY47" s="963"/>
      <c r="AZ47" s="963"/>
      <c r="BI47" s="1034"/>
      <c r="BJ47" s="1034"/>
    </row>
    <row r="48" spans="1:70" x14ac:dyDescent="0.2">
      <c r="B48" s="1235"/>
      <c r="C48" s="1295"/>
      <c r="D48" s="2158"/>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964"/>
      <c r="AJ48" s="964"/>
      <c r="AK48" s="964"/>
      <c r="AL48" s="964"/>
      <c r="AM48" s="964"/>
      <c r="AN48" s="964"/>
      <c r="AO48" s="963"/>
      <c r="AP48" s="963"/>
      <c r="AQ48" s="963"/>
      <c r="AR48" s="963"/>
      <c r="AS48" s="963"/>
      <c r="AT48" s="963"/>
      <c r="AU48" s="963"/>
      <c r="AV48" s="963"/>
      <c r="AW48" s="989"/>
      <c r="AX48" s="963"/>
      <c r="AY48" s="963"/>
      <c r="AZ48" s="963"/>
      <c r="BI48" s="1034"/>
      <c r="BJ48" s="1034"/>
    </row>
    <row r="49" spans="2:62" x14ac:dyDescent="0.2">
      <c r="B49" s="1235"/>
      <c r="C49" s="1295"/>
      <c r="D49" s="2158"/>
      <c r="M49" s="1436"/>
      <c r="AW49" s="1041"/>
      <c r="BI49" s="1116"/>
      <c r="BJ49" s="1116"/>
    </row>
    <row r="50" spans="2:62" x14ac:dyDescent="0.2">
      <c r="B50" s="1235"/>
      <c r="C50" s="1295"/>
      <c r="D50" s="2158"/>
      <c r="AW50" s="1041"/>
      <c r="BI50" s="1116"/>
      <c r="BJ50" s="1116"/>
    </row>
    <row r="51" spans="2:62" x14ac:dyDescent="0.2">
      <c r="B51" s="1235"/>
      <c r="C51" s="1295"/>
      <c r="D51" s="2158"/>
      <c r="AW51" s="1022"/>
      <c r="BI51" s="1021"/>
      <c r="BJ51" s="1021"/>
    </row>
    <row r="52" spans="2:62" x14ac:dyDescent="0.2">
      <c r="B52" s="1235"/>
      <c r="C52" s="1390"/>
      <c r="AW52" s="1057"/>
      <c r="BI52" s="1120"/>
      <c r="BJ52" s="1120"/>
    </row>
    <row r="53" spans="2:62" x14ac:dyDescent="0.2">
      <c r="B53" s="1235"/>
      <c r="C53" s="1390"/>
      <c r="AW53" s="1120"/>
      <c r="BI53" s="1120"/>
      <c r="BJ53" s="1120"/>
    </row>
    <row r="54" spans="2:62" x14ac:dyDescent="0.2">
      <c r="B54" s="1235"/>
      <c r="C54" s="1295"/>
      <c r="D54" s="2158"/>
      <c r="AW54" s="1120"/>
      <c r="BI54" s="1226"/>
      <c r="BJ54" s="1226"/>
    </row>
    <row r="55" spans="2:62" x14ac:dyDescent="0.2">
      <c r="B55" s="1235"/>
      <c r="C55" s="1295"/>
      <c r="D55" s="2158"/>
      <c r="AW55" s="1226"/>
      <c r="BI55" s="1226"/>
      <c r="BJ55" s="1226"/>
    </row>
    <row r="56" spans="2:62" x14ac:dyDescent="0.2">
      <c r="B56" s="1235"/>
      <c r="C56" s="1295"/>
      <c r="D56" s="2158"/>
      <c r="AW56" s="1226"/>
      <c r="BI56" s="1226"/>
      <c r="BJ56" s="1226"/>
    </row>
    <row r="57" spans="2:62" x14ac:dyDescent="0.2">
      <c r="B57" s="1235"/>
      <c r="C57" s="1295"/>
      <c r="D57" s="2158"/>
      <c r="BI57" s="1226"/>
      <c r="BJ57" s="1226"/>
    </row>
    <row r="58" spans="2:62" x14ac:dyDescent="0.2">
      <c r="B58" s="1235"/>
      <c r="C58" s="1295"/>
      <c r="D58" s="2158"/>
      <c r="BI58" s="1226"/>
      <c r="BJ58" s="1226"/>
    </row>
    <row r="59" spans="2:62" x14ac:dyDescent="0.2">
      <c r="B59" s="1235"/>
      <c r="C59" s="1295"/>
      <c r="D59" s="2158"/>
    </row>
    <row r="60" spans="2:62" x14ac:dyDescent="0.2">
      <c r="B60" s="1235"/>
      <c r="C60" s="1295"/>
      <c r="D60" s="2158"/>
    </row>
    <row r="61" spans="2:62" x14ac:dyDescent="0.2">
      <c r="B61" s="1235"/>
      <c r="C61" s="1295"/>
      <c r="D61" s="2158"/>
    </row>
    <row r="62" spans="2:62" x14ac:dyDescent="0.2">
      <c r="B62" s="1235"/>
      <c r="C62" s="1295"/>
      <c r="D62" s="2158"/>
    </row>
    <row r="63" spans="2:62" x14ac:dyDescent="0.2">
      <c r="B63" s="1235"/>
      <c r="C63" s="1295"/>
      <c r="D63" s="2158"/>
    </row>
    <row r="64" spans="2:62" x14ac:dyDescent="0.2">
      <c r="B64" s="1235"/>
      <c r="C64" s="1390"/>
    </row>
    <row r="65" spans="2:12" x14ac:dyDescent="0.2">
      <c r="B65" s="1235"/>
      <c r="C65" s="1295"/>
      <c r="D65" s="2158"/>
    </row>
    <row r="66" spans="2:12" x14ac:dyDescent="0.2">
      <c r="C66" s="1390"/>
    </row>
    <row r="80" spans="2:12" x14ac:dyDescent="0.2">
      <c r="L80" s="964"/>
    </row>
    <row r="81" spans="12:12" x14ac:dyDescent="0.2">
      <c r="L81" s="964"/>
    </row>
    <row r="82" spans="12:12" x14ac:dyDescent="0.2">
      <c r="L82" s="964"/>
    </row>
    <row r="83" spans="12:12" x14ac:dyDescent="0.2">
      <c r="L83" s="964"/>
    </row>
    <row r="84" spans="12:12" x14ac:dyDescent="0.2">
      <c r="L84" s="964"/>
    </row>
    <row r="85" spans="12:12" x14ac:dyDescent="0.2">
      <c r="L85" s="964"/>
    </row>
    <row r="86" spans="12:12" x14ac:dyDescent="0.2">
      <c r="L86" s="964"/>
    </row>
    <row r="87" spans="12:12" x14ac:dyDescent="0.2">
      <c r="L87" s="964"/>
    </row>
  </sheetData>
  <mergeCells count="4">
    <mergeCell ref="C11:D11"/>
    <mergeCell ref="BG10:BH10"/>
    <mergeCell ref="BG11:BH11"/>
    <mergeCell ref="C10:D10"/>
  </mergeCells>
  <phoneticPr fontId="16" type="noConversion"/>
  <conditionalFormatting sqref="A36:B36">
    <cfRule type="cellIs" dxfId="18" priority="1" stopIfTrue="1" operator="equal">
      <formula>0</formula>
    </cfRule>
  </conditionalFormatting>
  <printOptions horizontalCentered="1"/>
  <pageMargins left="0.3" right="0.3" top="0.4" bottom="0.6" header="0" footer="0.3"/>
  <pageSetup scale="59" orientation="landscape" r:id="rId1"/>
  <headerFooter alignWithMargins="0">
    <oddFooter>&amp;L&amp;F&amp;CPage 11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104"/>
  <sheetViews>
    <sheetView view="pageBreakPreview" topLeftCell="A26" zoomScale="90" zoomScaleNormal="100" zoomScaleSheetLayoutView="90" workbookViewId="0">
      <pane xSplit="2" topLeftCell="C1" activePane="topRight" state="frozenSplit"/>
      <selection activeCell="B21" sqref="B21:L21"/>
      <selection pane="topRight" activeCell="I77" sqref="I77"/>
    </sheetView>
  </sheetViews>
  <sheetFormatPr defaultRowHeight="12.75" outlineLevelRow="1" x14ac:dyDescent="0.2"/>
  <cols>
    <col min="1" max="1" width="2.7109375" customWidth="1"/>
    <col min="2" max="2" width="45.42578125" customWidth="1"/>
    <col min="3" max="3" width="9.5703125" customWidth="1"/>
    <col min="4" max="4" width="9.7109375" customWidth="1"/>
    <col min="5" max="5" width="1.5703125" style="3" customWidth="1"/>
    <col min="6" max="8" width="9.5703125" style="486" hidden="1" customWidth="1"/>
    <col min="9" max="13" width="9.5703125" style="486" customWidth="1"/>
    <col min="14" max="17" width="9.5703125" style="3" customWidth="1"/>
    <col min="18" max="24" width="9.5703125" style="3" hidden="1" customWidth="1"/>
    <col min="25" max="25" width="7.7109375" style="3" hidden="1" customWidth="1"/>
    <col min="26" max="26" width="7" style="3" hidden="1" customWidth="1"/>
    <col min="27" max="27" width="7.5703125" style="3" hidden="1" customWidth="1"/>
    <col min="28" max="28" width="7" style="3" hidden="1" customWidth="1"/>
    <col min="29" max="30" width="8" hidden="1" customWidth="1"/>
    <col min="31" max="37" width="8.5703125" hidden="1" customWidth="1"/>
    <col min="38" max="38" width="1.5703125" customWidth="1"/>
    <col min="39" max="40" width="10.140625" style="412" hidden="1" customWidth="1"/>
    <col min="41" max="41" width="10.140625" hidden="1" customWidth="1"/>
    <col min="42" max="42" width="9.85546875" hidden="1" customWidth="1"/>
    <col min="43" max="43" width="1.5703125" hidden="1" customWidth="1"/>
    <col min="44" max="44" width="9.7109375" style="485" customWidth="1"/>
    <col min="45" max="45" width="9.7109375" style="412" customWidth="1"/>
    <col min="46" max="48" width="9.7109375" customWidth="1"/>
    <col min="49" max="53" width="9.7109375" hidden="1" customWidth="1"/>
    <col min="54" max="54" width="1.5703125" customWidth="1"/>
  </cols>
  <sheetData>
    <row r="5" spans="1:61" x14ac:dyDescent="0.2">
      <c r="A5" s="3"/>
      <c r="B5" s="3"/>
      <c r="C5" s="3"/>
      <c r="D5" s="3"/>
      <c r="AC5" s="3"/>
      <c r="AD5" s="3"/>
      <c r="AE5" s="3"/>
    </row>
    <row r="6" spans="1:61" ht="18" customHeight="1" x14ac:dyDescent="0.2">
      <c r="A6" s="84" t="s">
        <v>86</v>
      </c>
      <c r="B6" s="3"/>
      <c r="C6" s="3"/>
      <c r="D6" s="3"/>
      <c r="AC6" s="3"/>
      <c r="AD6" s="3"/>
      <c r="AE6" s="3"/>
    </row>
    <row r="7" spans="1:61" ht="18" customHeight="1" x14ac:dyDescent="0.2">
      <c r="A7" s="84" t="s">
        <v>212</v>
      </c>
      <c r="B7" s="4"/>
      <c r="C7" s="4"/>
      <c r="D7" s="4"/>
      <c r="E7" s="4"/>
      <c r="F7" s="4"/>
      <c r="G7" s="4"/>
      <c r="H7" s="4"/>
      <c r="I7" s="4"/>
      <c r="J7" s="4"/>
      <c r="K7" s="4"/>
      <c r="L7" s="4"/>
      <c r="M7" s="4"/>
      <c r="N7" s="4"/>
      <c r="O7" s="4"/>
      <c r="P7" s="4"/>
      <c r="Q7" s="4"/>
      <c r="R7" s="4"/>
      <c r="S7" s="4"/>
      <c r="T7" s="4"/>
      <c r="U7" s="4"/>
      <c r="V7" s="4"/>
      <c r="W7" s="4"/>
      <c r="X7" s="4"/>
      <c r="Y7" s="4"/>
      <c r="Z7" s="4"/>
      <c r="AA7" s="4"/>
      <c r="AB7" s="4"/>
      <c r="AC7" s="3"/>
      <c r="AD7" s="3"/>
      <c r="AE7" s="3"/>
    </row>
    <row r="8" spans="1:61" ht="9.75" customHeight="1" x14ac:dyDescent="0.2">
      <c r="A8" s="2"/>
      <c r="B8" s="2"/>
      <c r="C8" s="284"/>
      <c r="D8" s="284"/>
      <c r="E8" s="2"/>
      <c r="F8" s="284"/>
      <c r="G8" s="284"/>
      <c r="H8" s="284"/>
      <c r="I8" s="284"/>
      <c r="J8" s="284"/>
      <c r="K8" s="284"/>
      <c r="L8" s="284"/>
      <c r="M8" s="284"/>
      <c r="N8" s="284"/>
      <c r="O8" s="284"/>
      <c r="P8" s="284"/>
      <c r="Q8" s="284"/>
      <c r="R8" s="284"/>
      <c r="S8" s="284"/>
      <c r="T8" s="284"/>
      <c r="U8" s="284"/>
      <c r="V8" s="284"/>
      <c r="W8" s="284"/>
      <c r="X8" s="284"/>
      <c r="Y8" s="284"/>
      <c r="Z8" s="284"/>
      <c r="AA8" s="284"/>
      <c r="AB8" s="284"/>
      <c r="AC8" s="25"/>
      <c r="AD8" s="25"/>
      <c r="AE8" s="25"/>
      <c r="AO8" s="370"/>
      <c r="AP8" s="370"/>
      <c r="AV8" s="25"/>
      <c r="AW8" s="25"/>
      <c r="AX8" s="25"/>
      <c r="AY8" s="25"/>
      <c r="AZ8" s="25"/>
    </row>
    <row r="9" spans="1:61" x14ac:dyDescent="0.2">
      <c r="A9" s="5" t="s">
        <v>1</v>
      </c>
      <c r="B9" s="6"/>
      <c r="C9" s="2493" t="s">
        <v>327</v>
      </c>
      <c r="D9" s="2494"/>
      <c r="E9" s="187"/>
      <c r="F9" s="276"/>
      <c r="G9" s="276"/>
      <c r="H9" s="276"/>
      <c r="I9" s="17"/>
      <c r="J9" s="276"/>
      <c r="K9" s="276"/>
      <c r="L9" s="276"/>
      <c r="M9" s="17"/>
      <c r="N9" s="15"/>
      <c r="O9" s="16"/>
      <c r="P9" s="276"/>
      <c r="Q9" s="17"/>
      <c r="R9" s="15"/>
      <c r="S9" s="16"/>
      <c r="T9" s="276"/>
      <c r="U9" s="17"/>
      <c r="V9" s="486"/>
      <c r="W9" s="16"/>
      <c r="X9" s="2"/>
      <c r="Y9" s="17"/>
      <c r="Z9" s="16"/>
      <c r="AA9" s="486"/>
      <c r="AB9" s="276"/>
      <c r="AC9" s="17"/>
      <c r="AD9" s="16"/>
      <c r="AE9" s="16"/>
      <c r="AF9" s="16"/>
      <c r="AG9" s="16"/>
      <c r="AH9" s="20"/>
      <c r="AI9" s="17"/>
      <c r="AJ9" s="17"/>
      <c r="AK9" s="17"/>
      <c r="AL9" s="22"/>
      <c r="AM9" s="450" t="s">
        <v>311</v>
      </c>
      <c r="AN9" s="438"/>
      <c r="AO9" s="438" t="s">
        <v>296</v>
      </c>
      <c r="AP9" s="439"/>
      <c r="AQ9" s="13"/>
      <c r="AR9" s="46"/>
      <c r="AS9" s="46"/>
      <c r="AT9" s="46"/>
      <c r="AU9" s="46"/>
      <c r="AV9" s="46"/>
      <c r="AW9" s="20"/>
      <c r="AX9" s="20"/>
      <c r="AY9" s="46"/>
      <c r="AZ9" s="46"/>
      <c r="BA9" s="46"/>
      <c r="BB9" s="23"/>
    </row>
    <row r="10" spans="1:61" ht="13.5" x14ac:dyDescent="0.2">
      <c r="A10" s="5" t="s">
        <v>2</v>
      </c>
      <c r="B10" s="6"/>
      <c r="C10" s="2495" t="s">
        <v>39</v>
      </c>
      <c r="D10" s="2496"/>
      <c r="E10" s="358"/>
      <c r="F10" s="19" t="s">
        <v>330</v>
      </c>
      <c r="G10" s="19" t="s">
        <v>329</v>
      </c>
      <c r="H10" s="19" t="s">
        <v>328</v>
      </c>
      <c r="I10" s="12" t="s">
        <v>326</v>
      </c>
      <c r="J10" s="19" t="s">
        <v>282</v>
      </c>
      <c r="K10" s="19" t="s">
        <v>283</v>
      </c>
      <c r="L10" s="19" t="s">
        <v>284</v>
      </c>
      <c r="M10" s="12" t="s">
        <v>285</v>
      </c>
      <c r="N10" s="18" t="s">
        <v>220</v>
      </c>
      <c r="O10" s="19" t="s">
        <v>221</v>
      </c>
      <c r="P10" s="19" t="s">
        <v>222</v>
      </c>
      <c r="Q10" s="12" t="s">
        <v>219</v>
      </c>
      <c r="R10" s="18" t="s">
        <v>185</v>
      </c>
      <c r="S10" s="19" t="s">
        <v>186</v>
      </c>
      <c r="T10" s="19" t="s">
        <v>187</v>
      </c>
      <c r="U10" s="12" t="s">
        <v>188</v>
      </c>
      <c r="V10" s="19" t="s">
        <v>118</v>
      </c>
      <c r="W10" s="19" t="s">
        <v>117</v>
      </c>
      <c r="X10" s="19" t="s">
        <v>116</v>
      </c>
      <c r="Y10" s="12" t="s">
        <v>115</v>
      </c>
      <c r="Z10" s="19" t="s">
        <v>83</v>
      </c>
      <c r="AA10" s="19" t="s">
        <v>84</v>
      </c>
      <c r="AB10" s="19" t="s">
        <v>85</v>
      </c>
      <c r="AC10" s="12" t="s">
        <v>30</v>
      </c>
      <c r="AD10" s="19" t="s">
        <v>31</v>
      </c>
      <c r="AE10" s="19" t="s">
        <v>32</v>
      </c>
      <c r="AF10" s="19" t="s">
        <v>33</v>
      </c>
      <c r="AG10" s="19" t="s">
        <v>34</v>
      </c>
      <c r="AH10" s="21" t="s">
        <v>35</v>
      </c>
      <c r="AI10" s="12" t="s">
        <v>36</v>
      </c>
      <c r="AJ10" s="12" t="s">
        <v>37</v>
      </c>
      <c r="AK10" s="12" t="s">
        <v>38</v>
      </c>
      <c r="AL10" s="187"/>
      <c r="AM10" s="19" t="s">
        <v>283</v>
      </c>
      <c r="AN10" s="19" t="s">
        <v>221</v>
      </c>
      <c r="AO10" s="2498" t="s">
        <v>39</v>
      </c>
      <c r="AP10" s="2499"/>
      <c r="AQ10" s="14"/>
      <c r="AR10" s="18" t="s">
        <v>287</v>
      </c>
      <c r="AS10" s="18" t="s">
        <v>224</v>
      </c>
      <c r="AT10" s="18" t="s">
        <v>120</v>
      </c>
      <c r="AU10" s="18" t="s">
        <v>119</v>
      </c>
      <c r="AV10" s="18" t="s">
        <v>43</v>
      </c>
      <c r="AW10" s="21" t="s">
        <v>40</v>
      </c>
      <c r="AX10" s="21" t="s">
        <v>41</v>
      </c>
      <c r="AY10" s="12" t="s">
        <v>138</v>
      </c>
      <c r="AZ10" s="12" t="s">
        <v>139</v>
      </c>
      <c r="BA10" s="12" t="s">
        <v>140</v>
      </c>
      <c r="BB10" s="23"/>
      <c r="BC10" s="3"/>
      <c r="BG10" s="3"/>
      <c r="BH10" s="3"/>
      <c r="BI10" s="3"/>
    </row>
    <row r="11" spans="1:61" s="412" customFormat="1" x14ac:dyDescent="0.2">
      <c r="A11" s="5"/>
      <c r="B11" s="6"/>
      <c r="C11" s="534"/>
      <c r="D11" s="424"/>
      <c r="E11" s="358"/>
      <c r="F11" s="426" t="s">
        <v>240</v>
      </c>
      <c r="G11" s="426" t="s">
        <v>240</v>
      </c>
      <c r="H11" s="426" t="s">
        <v>240</v>
      </c>
      <c r="I11" s="427" t="s">
        <v>240</v>
      </c>
      <c r="J11" s="426" t="s">
        <v>240</v>
      </c>
      <c r="K11" s="426" t="s">
        <v>240</v>
      </c>
      <c r="L11" s="426" t="s">
        <v>240</v>
      </c>
      <c r="M11" s="427" t="s">
        <v>240</v>
      </c>
      <c r="N11" s="425" t="s">
        <v>240</v>
      </c>
      <c r="O11" s="426" t="s">
        <v>240</v>
      </c>
      <c r="P11" s="426" t="s">
        <v>240</v>
      </c>
      <c r="Q11" s="427" t="s">
        <v>240</v>
      </c>
      <c r="R11" s="425" t="s">
        <v>240</v>
      </c>
      <c r="S11" s="426" t="s">
        <v>240</v>
      </c>
      <c r="T11" s="426" t="s">
        <v>240</v>
      </c>
      <c r="U11" s="427" t="s">
        <v>240</v>
      </c>
      <c r="V11" s="425" t="s">
        <v>241</v>
      </c>
      <c r="W11" s="426" t="s">
        <v>241</v>
      </c>
      <c r="X11" s="427" t="s">
        <v>241</v>
      </c>
      <c r="Y11" s="427" t="s">
        <v>241</v>
      </c>
      <c r="Z11" s="13"/>
      <c r="AA11" s="13"/>
      <c r="AB11" s="13"/>
      <c r="AC11" s="162"/>
      <c r="AD11" s="13"/>
      <c r="AE11" s="13"/>
      <c r="AF11" s="13"/>
      <c r="AG11" s="13"/>
      <c r="AH11" s="187"/>
      <c r="AI11" s="162"/>
      <c r="AJ11" s="162"/>
      <c r="AK11" s="162"/>
      <c r="AL11" s="187"/>
      <c r="AM11" s="425" t="s">
        <v>240</v>
      </c>
      <c r="AN11" s="426" t="s">
        <v>240</v>
      </c>
      <c r="AO11" s="440"/>
      <c r="AP11" s="441"/>
      <c r="AQ11" s="420"/>
      <c r="AR11" s="425" t="s">
        <v>240</v>
      </c>
      <c r="AS11" s="425" t="s">
        <v>240</v>
      </c>
      <c r="AT11" s="425" t="s">
        <v>240</v>
      </c>
      <c r="AU11" s="425" t="s">
        <v>241</v>
      </c>
      <c r="AV11" s="425" t="s">
        <v>241</v>
      </c>
      <c r="AW11" s="428" t="s">
        <v>241</v>
      </c>
      <c r="AX11" s="428" t="s">
        <v>241</v>
      </c>
      <c r="AY11" s="162"/>
      <c r="AZ11" s="162"/>
      <c r="BA11" s="162"/>
      <c r="BB11" s="23"/>
      <c r="BC11" s="3"/>
      <c r="BG11" s="3"/>
      <c r="BH11" s="3"/>
      <c r="BI11" s="3"/>
    </row>
    <row r="12" spans="1:61" ht="12.75" customHeight="1" x14ac:dyDescent="0.2">
      <c r="A12" s="88" t="s">
        <v>61</v>
      </c>
      <c r="B12" s="7"/>
      <c r="C12" s="108"/>
      <c r="D12" s="110"/>
      <c r="E12" s="47"/>
      <c r="F12" s="488"/>
      <c r="G12" s="488"/>
      <c r="H12" s="488"/>
      <c r="I12" s="110"/>
      <c r="J12" s="488"/>
      <c r="K12" s="488"/>
      <c r="L12" s="488"/>
      <c r="M12" s="110"/>
      <c r="N12" s="94"/>
      <c r="O12" s="128"/>
      <c r="P12" s="94"/>
      <c r="Q12" s="110"/>
      <c r="R12" s="94"/>
      <c r="S12" s="128"/>
      <c r="T12" s="94"/>
      <c r="U12" s="110"/>
      <c r="V12" s="94"/>
      <c r="W12" s="128"/>
      <c r="X12" s="94"/>
      <c r="Y12" s="110"/>
      <c r="Z12" s="94"/>
      <c r="AA12" s="128"/>
      <c r="AB12" s="94"/>
      <c r="AC12" s="110"/>
      <c r="AD12" s="128"/>
      <c r="AE12" s="94"/>
      <c r="AF12" s="94"/>
      <c r="AG12" s="110"/>
      <c r="AH12" s="47"/>
      <c r="AI12" s="110"/>
      <c r="AJ12" s="110"/>
      <c r="AK12" s="110"/>
      <c r="AL12" s="47"/>
      <c r="AM12" s="94"/>
      <c r="AN12" s="94"/>
      <c r="AO12" s="128"/>
      <c r="AP12" s="109"/>
      <c r="AQ12" s="44"/>
      <c r="AR12" s="47"/>
      <c r="AS12" s="47"/>
      <c r="AT12" s="47"/>
      <c r="AU12" s="47"/>
      <c r="AV12" s="47"/>
      <c r="AW12" s="47"/>
      <c r="AX12" s="47"/>
      <c r="AY12" s="221"/>
      <c r="AZ12" s="221"/>
      <c r="BA12" s="221"/>
      <c r="BB12" s="23"/>
      <c r="BC12" s="3"/>
      <c r="BG12" s="3"/>
    </row>
    <row r="13" spans="1:61" ht="12.75" customHeight="1" x14ac:dyDescent="0.2">
      <c r="A13" s="6"/>
      <c r="B13" s="44" t="s">
        <v>182</v>
      </c>
      <c r="C13" s="34" t="e">
        <f>I13-M13</f>
        <v>#REF!</v>
      </c>
      <c r="D13" s="39" t="e">
        <f>IF(OR((C13/M13)&gt;3,(C13/M13)&lt;-3),"n.m.",(C13/M13))</f>
        <v>#REF!</v>
      </c>
      <c r="E13" s="353"/>
      <c r="F13" s="507" t="e">
        <f>+#REF!</f>
        <v>#REF!</v>
      </c>
      <c r="G13" s="507" t="e">
        <f>+#REF!</f>
        <v>#REF!</v>
      </c>
      <c r="H13" s="507" t="e">
        <f>+#REF!</f>
        <v>#REF!</v>
      </c>
      <c r="I13" s="146" t="e">
        <f>+#REF!</f>
        <v>#REF!</v>
      </c>
      <c r="J13" s="507" t="e">
        <f>+#REF!</f>
        <v>#REF!</v>
      </c>
      <c r="K13" s="507" t="e">
        <f>+#REF!</f>
        <v>#REF!</v>
      </c>
      <c r="L13" s="507" t="e">
        <f>+#REF!</f>
        <v>#REF!</v>
      </c>
      <c r="M13" s="146" t="e">
        <f>+#REF!</f>
        <v>#REF!</v>
      </c>
      <c r="N13" s="266" t="e">
        <f>#REF!</f>
        <v>#REF!</v>
      </c>
      <c r="O13" s="266" t="e">
        <f>#REF!</f>
        <v>#REF!</v>
      </c>
      <c r="P13" s="266" t="e">
        <f>#REF!</f>
        <v>#REF!</v>
      </c>
      <c r="Q13" s="146" t="e">
        <f>#REF!</f>
        <v>#REF!</v>
      </c>
      <c r="R13" s="266" t="e">
        <f>#REF!</f>
        <v>#REF!</v>
      </c>
      <c r="S13" s="266" t="e">
        <f>#REF!</f>
        <v>#REF!</v>
      </c>
      <c r="T13" s="266" t="e">
        <f>#REF!</f>
        <v>#REF!</v>
      </c>
      <c r="U13" s="146">
        <v>58053</v>
      </c>
      <c r="V13" s="266">
        <v>39289</v>
      </c>
      <c r="W13" s="266">
        <v>67352</v>
      </c>
      <c r="X13" s="266">
        <v>34463</v>
      </c>
      <c r="Y13" s="146">
        <v>36477</v>
      </c>
      <c r="Z13" s="266">
        <v>31276</v>
      </c>
      <c r="AA13" s="266">
        <v>20429</v>
      </c>
      <c r="AB13" s="266">
        <v>29110</v>
      </c>
      <c r="AC13" s="146">
        <v>42035</v>
      </c>
      <c r="AD13" s="143">
        <v>39733</v>
      </c>
      <c r="AE13" s="111">
        <v>52078</v>
      </c>
      <c r="AF13" s="111">
        <v>48387</v>
      </c>
      <c r="AG13" s="112">
        <v>72387</v>
      </c>
      <c r="AH13" s="119">
        <v>68481</v>
      </c>
      <c r="AI13" s="112">
        <v>58781</v>
      </c>
      <c r="AJ13" s="112">
        <v>46473</v>
      </c>
      <c r="AK13" s="112">
        <v>53589</v>
      </c>
      <c r="AL13" s="47"/>
      <c r="AM13" s="238" t="e">
        <f>SUM(K13:M13)</f>
        <v>#REF!</v>
      </c>
      <c r="AN13" s="238" t="e">
        <f>SUM(O13:Q13)</f>
        <v>#REF!</v>
      </c>
      <c r="AO13" s="28" t="e">
        <f>AR13-AS13</f>
        <v>#REF!</v>
      </c>
      <c r="AP13" s="503" t="e">
        <f>IF(OR((AO13/AS13)&gt;3,(AO13/AS13)&lt;-3),"n.m.",(AO13/AS13))</f>
        <v>#REF!</v>
      </c>
      <c r="AQ13" s="44"/>
      <c r="AR13" s="504" t="e">
        <f>SUM(J13:M13)</f>
        <v>#REF!</v>
      </c>
      <c r="AS13" s="132" t="e">
        <f>SUM(N13:Q13)</f>
        <v>#REF!</v>
      </c>
      <c r="AT13" s="132">
        <v>338520</v>
      </c>
      <c r="AU13" s="132">
        <v>177581</v>
      </c>
      <c r="AV13" s="132">
        <v>122850</v>
      </c>
      <c r="AW13" s="132">
        <v>212585</v>
      </c>
      <c r="AX13" s="132">
        <v>227324</v>
      </c>
      <c r="AY13" s="37">
        <v>189074</v>
      </c>
      <c r="AZ13" s="37">
        <v>123564</v>
      </c>
      <c r="BA13" s="37">
        <v>127269</v>
      </c>
      <c r="BB13" s="94"/>
      <c r="BC13" s="94"/>
      <c r="BG13" s="3"/>
    </row>
    <row r="14" spans="1:61" ht="12.75" customHeight="1" x14ac:dyDescent="0.2">
      <c r="A14" s="6"/>
      <c r="B14" s="487" t="s">
        <v>316</v>
      </c>
      <c r="C14" s="34" t="e">
        <f>I14-M14</f>
        <v>#REF!</v>
      </c>
      <c r="D14" s="27" t="e">
        <f>IF(OR((C14/M14)&gt;3,(C14/M14)&lt;-3),"n.m.",(C14/M14))</f>
        <v>#REF!</v>
      </c>
      <c r="E14" s="353"/>
      <c r="F14" s="507" t="e">
        <f>+#REF!</f>
        <v>#REF!</v>
      </c>
      <c r="G14" s="507" t="e">
        <f>+#REF!</f>
        <v>#REF!</v>
      </c>
      <c r="H14" s="507" t="e">
        <f>+#REF!</f>
        <v>#REF!</v>
      </c>
      <c r="I14" s="146" t="e">
        <f>+#REF!</f>
        <v>#REF!</v>
      </c>
      <c r="J14" s="507" t="e">
        <f>+#REF!</f>
        <v>#REF!</v>
      </c>
      <c r="K14" s="507" t="e">
        <f>+#REF!</f>
        <v>#REF!</v>
      </c>
      <c r="L14" s="507" t="e">
        <f>+#REF!</f>
        <v>#REF!</v>
      </c>
      <c r="M14" s="146" t="e">
        <f>+#REF!</f>
        <v>#REF!</v>
      </c>
      <c r="N14" s="266" t="e">
        <f>#REF!</f>
        <v>#REF!</v>
      </c>
      <c r="O14" s="266" t="e">
        <f>#REF!</f>
        <v>#REF!</v>
      </c>
      <c r="P14" s="266" t="e">
        <f>#REF!</f>
        <v>#REF!</v>
      </c>
      <c r="Q14" s="146" t="e">
        <f>#REF!</f>
        <v>#REF!</v>
      </c>
      <c r="R14" s="266" t="e">
        <f>#REF!</f>
        <v>#REF!</v>
      </c>
      <c r="S14" s="266" t="e">
        <f>#REF!</f>
        <v>#REF!</v>
      </c>
      <c r="T14" s="266" t="e">
        <f>#REF!</f>
        <v>#REF!</v>
      </c>
      <c r="U14" s="146">
        <v>46307</v>
      </c>
      <c r="V14" s="266">
        <v>54086</v>
      </c>
      <c r="W14" s="266">
        <v>50900</v>
      </c>
      <c r="X14" s="266">
        <v>39596</v>
      </c>
      <c r="Y14" s="146">
        <v>39676</v>
      </c>
      <c r="Z14" s="266">
        <v>36739</v>
      </c>
      <c r="AA14" s="266">
        <v>33072</v>
      </c>
      <c r="AB14" s="266">
        <v>43016</v>
      </c>
      <c r="AC14" s="146">
        <v>56801</v>
      </c>
      <c r="AD14" s="142">
        <v>53686</v>
      </c>
      <c r="AE14" s="142">
        <v>60447</v>
      </c>
      <c r="AF14" s="142">
        <v>56588</v>
      </c>
      <c r="AG14" s="142">
        <v>74990</v>
      </c>
      <c r="AH14" s="106">
        <v>74727</v>
      </c>
      <c r="AI14" s="146">
        <v>67907</v>
      </c>
      <c r="AJ14" s="146">
        <v>54960</v>
      </c>
      <c r="AK14" s="146">
        <v>70996</v>
      </c>
      <c r="AL14" s="47"/>
      <c r="AM14" s="499" t="e">
        <f>SUM(K14:M14)</f>
        <v>#REF!</v>
      </c>
      <c r="AN14" s="499" t="e">
        <f>SUM(O14:Q14)</f>
        <v>#REF!</v>
      </c>
      <c r="AO14" s="28" t="e">
        <f>AR14-AS14</f>
        <v>#REF!</v>
      </c>
      <c r="AP14" s="503" t="e">
        <f t="shared" ref="AP14:AP31" si="0">IF(OR((AO14/AS14)&gt;3,(AO14/AS14)&lt;-3),"n.m.",(AO14/AS14))</f>
        <v>#REF!</v>
      </c>
      <c r="AQ14" s="44"/>
      <c r="AR14" s="504" t="e">
        <f>SUM(J14:M14)</f>
        <v>#REF!</v>
      </c>
      <c r="AS14" s="132" t="e">
        <f>SUM(N14:Q14)</f>
        <v>#REF!</v>
      </c>
      <c r="AT14" s="132">
        <v>228098</v>
      </c>
      <c r="AU14" s="132">
        <v>184258</v>
      </c>
      <c r="AV14" s="132">
        <v>169628</v>
      </c>
      <c r="AW14" s="132">
        <v>245711</v>
      </c>
      <c r="AX14" s="132">
        <v>268590</v>
      </c>
      <c r="AY14" s="37">
        <v>223925</v>
      </c>
      <c r="AZ14" s="37">
        <v>178176</v>
      </c>
      <c r="BA14" s="37">
        <v>175983</v>
      </c>
      <c r="BB14" s="94"/>
      <c r="BC14" s="94"/>
      <c r="BG14" s="3"/>
    </row>
    <row r="15" spans="1:61" ht="12.75" customHeight="1" x14ac:dyDescent="0.2">
      <c r="A15" s="6"/>
      <c r="B15" s="44" t="s">
        <v>91</v>
      </c>
      <c r="C15" s="34">
        <f>I15-M15</f>
        <v>-2689</v>
      </c>
      <c r="D15" s="27">
        <f>IF(OR((C15/M15)&gt;3,(C15/M15)&lt;-3),"n.m.",(C15/M15))</f>
        <v>-0.54944830404577039</v>
      </c>
      <c r="E15" s="353"/>
      <c r="F15" s="507">
        <f>+'10 Other'!R13</f>
        <v>1853</v>
      </c>
      <c r="G15" s="507">
        <f>+'10 Other'!S13</f>
        <v>4988</v>
      </c>
      <c r="H15" s="507">
        <f>+'10 Other'!T13</f>
        <v>6372</v>
      </c>
      <c r="I15" s="146">
        <f>+'10 Other'!U13</f>
        <v>2205</v>
      </c>
      <c r="J15" s="507">
        <f>+'10 Other'!V13</f>
        <v>5045</v>
      </c>
      <c r="K15" s="507">
        <f>+'10 Other'!W13</f>
        <v>4535</v>
      </c>
      <c r="L15" s="507">
        <f>+'10 Other'!X13</f>
        <v>10003</v>
      </c>
      <c r="M15" s="146">
        <f>+'10 Other'!Y14</f>
        <v>4894</v>
      </c>
      <c r="N15" s="266">
        <f>'10 Other'!Z13</f>
        <v>10101</v>
      </c>
      <c r="O15" s="266">
        <f>'10 Other'!AA13</f>
        <v>9737</v>
      </c>
      <c r="P15" s="266">
        <f>'10 Other'!AB13</f>
        <v>2636</v>
      </c>
      <c r="Q15" s="146">
        <f>'10 Other'!AC13</f>
        <v>7623</v>
      </c>
      <c r="R15" s="266">
        <f>'10 Other'!AD13</f>
        <v>11120</v>
      </c>
      <c r="S15" s="266">
        <f>'10 Other'!AE13</f>
        <v>8477</v>
      </c>
      <c r="T15" s="266">
        <f>'10 Other'!AF13</f>
        <v>7783</v>
      </c>
      <c r="U15" s="146">
        <v>4558</v>
      </c>
      <c r="V15" s="266">
        <v>4647</v>
      </c>
      <c r="W15" s="266">
        <v>5374</v>
      </c>
      <c r="X15" s="266">
        <v>5131</v>
      </c>
      <c r="Y15" s="146">
        <v>11781</v>
      </c>
      <c r="Z15" s="266">
        <v>4769</v>
      </c>
      <c r="AA15" s="266">
        <v>4406</v>
      </c>
      <c r="AB15" s="266">
        <v>8649</v>
      </c>
      <c r="AC15" s="146">
        <v>10062</v>
      </c>
      <c r="AD15" s="142">
        <v>11018</v>
      </c>
      <c r="AE15" s="142">
        <v>12605</v>
      </c>
      <c r="AF15" s="142">
        <v>12383</v>
      </c>
      <c r="AG15" s="142">
        <v>14764</v>
      </c>
      <c r="AH15" s="106">
        <v>10416</v>
      </c>
      <c r="AI15" s="146">
        <v>8017</v>
      </c>
      <c r="AJ15" s="146">
        <v>6975</v>
      </c>
      <c r="AK15" s="146">
        <v>8665</v>
      </c>
      <c r="AL15" s="47"/>
      <c r="AM15" s="499">
        <f>SUM(K15:M15)</f>
        <v>19432</v>
      </c>
      <c r="AN15" s="499">
        <f>SUM(O15:Q15)</f>
        <v>19996</v>
      </c>
      <c r="AO15" s="28">
        <f>AR15-AS15</f>
        <v>-5620</v>
      </c>
      <c r="AP15" s="503">
        <f t="shared" si="0"/>
        <v>-0.18672957437618368</v>
      </c>
      <c r="AQ15" s="44"/>
      <c r="AR15" s="504">
        <f>SUM(J15:M15)</f>
        <v>24477</v>
      </c>
      <c r="AS15" s="132">
        <f>SUM(N15:Q15)</f>
        <v>30097</v>
      </c>
      <c r="AT15" s="132">
        <v>31938</v>
      </c>
      <c r="AU15" s="132">
        <v>26933</v>
      </c>
      <c r="AV15" s="132">
        <v>27886</v>
      </c>
      <c r="AW15" s="132">
        <v>50770</v>
      </c>
      <c r="AX15" s="132">
        <v>34578</v>
      </c>
      <c r="AY15" s="37">
        <v>24555</v>
      </c>
      <c r="AZ15" s="37">
        <v>14948</v>
      </c>
      <c r="BA15" s="37">
        <v>14416</v>
      </c>
      <c r="BB15" s="94"/>
      <c r="BC15" s="94"/>
      <c r="BG15" s="3"/>
    </row>
    <row r="16" spans="1:61" ht="12.75" customHeight="1" x14ac:dyDescent="0.2">
      <c r="A16" s="7"/>
      <c r="B16" s="6"/>
      <c r="C16" s="113" t="e">
        <f>I16-M16</f>
        <v>#REF!</v>
      </c>
      <c r="D16" s="114" t="e">
        <f>IF(OR((C16/M16)&gt;3,(C16/M16)&lt;-3),"n.m.",(C16/M16))</f>
        <v>#REF!</v>
      </c>
      <c r="E16" s="353"/>
      <c r="F16" s="150" t="e">
        <f t="shared" ref="F16:K16" si="1">SUM(F13:F15)</f>
        <v>#REF!</v>
      </c>
      <c r="G16" s="150" t="e">
        <f t="shared" si="1"/>
        <v>#REF!</v>
      </c>
      <c r="H16" s="150" t="e">
        <f t="shared" si="1"/>
        <v>#REF!</v>
      </c>
      <c r="I16" s="151" t="e">
        <f t="shared" si="1"/>
        <v>#REF!</v>
      </c>
      <c r="J16" s="150" t="e">
        <f t="shared" si="1"/>
        <v>#REF!</v>
      </c>
      <c r="K16" s="150" t="e">
        <f t="shared" si="1"/>
        <v>#REF!</v>
      </c>
      <c r="L16" s="150" t="e">
        <f t="shared" ref="L16:Q16" si="2">SUM(L13:L15)</f>
        <v>#REF!</v>
      </c>
      <c r="M16" s="151" t="e">
        <f t="shared" si="2"/>
        <v>#REF!</v>
      </c>
      <c r="N16" s="150" t="e">
        <f t="shared" si="2"/>
        <v>#REF!</v>
      </c>
      <c r="O16" s="150" t="e">
        <f t="shared" si="2"/>
        <v>#REF!</v>
      </c>
      <c r="P16" s="150" t="e">
        <f t="shared" si="2"/>
        <v>#REF!</v>
      </c>
      <c r="Q16" s="151" t="e">
        <f t="shared" si="2"/>
        <v>#REF!</v>
      </c>
      <c r="R16" s="150" t="e">
        <f>SUM(R13:R15)</f>
        <v>#REF!</v>
      </c>
      <c r="S16" s="150" t="e">
        <f>SUM(S13:S15)</f>
        <v>#REF!</v>
      </c>
      <c r="T16" s="150" t="e">
        <f>SUM(T13:T15)</f>
        <v>#REF!</v>
      </c>
      <c r="U16" s="151">
        <f>SUM(U13:U15)</f>
        <v>108918</v>
      </c>
      <c r="V16" s="150">
        <v>98022</v>
      </c>
      <c r="W16" s="150">
        <v>123626</v>
      </c>
      <c r="X16" s="150">
        <v>79190</v>
      </c>
      <c r="Y16" s="151">
        <v>87934</v>
      </c>
      <c r="Z16" s="150">
        <v>72784</v>
      </c>
      <c r="AA16" s="150">
        <v>57907</v>
      </c>
      <c r="AB16" s="150">
        <v>80775</v>
      </c>
      <c r="AC16" s="150">
        <v>108898</v>
      </c>
      <c r="AD16" s="120">
        <v>104437</v>
      </c>
      <c r="AE16" s="150">
        <v>125130</v>
      </c>
      <c r="AF16" s="150">
        <v>117358</v>
      </c>
      <c r="AG16" s="150">
        <v>162141</v>
      </c>
      <c r="AH16" s="120">
        <v>153624</v>
      </c>
      <c r="AI16" s="151">
        <v>134705</v>
      </c>
      <c r="AJ16" s="151">
        <v>108408</v>
      </c>
      <c r="AK16" s="151">
        <v>133250</v>
      </c>
      <c r="AL16" s="47"/>
      <c r="AM16" s="150" t="e">
        <f>SUM(AM13:AM15)</f>
        <v>#REF!</v>
      </c>
      <c r="AN16" s="150" t="e">
        <f>SUM(AN13:AN15)</f>
        <v>#REF!</v>
      </c>
      <c r="AO16" s="247" t="e">
        <f>AR16-AS16</f>
        <v>#REF!</v>
      </c>
      <c r="AP16" s="114" t="e">
        <f t="shared" si="0"/>
        <v>#REF!</v>
      </c>
      <c r="AQ16" s="44"/>
      <c r="AR16" s="133" t="e">
        <f>SUM(AR13:AR15)</f>
        <v>#REF!</v>
      </c>
      <c r="AS16" s="133" t="e">
        <f>SUM(AS13:AS15)</f>
        <v>#REF!</v>
      </c>
      <c r="AT16" s="133">
        <v>598556</v>
      </c>
      <c r="AU16" s="133">
        <v>388772</v>
      </c>
      <c r="AV16" s="133">
        <v>320364</v>
      </c>
      <c r="AW16" s="133">
        <v>509066</v>
      </c>
      <c r="AX16" s="133">
        <v>530492</v>
      </c>
      <c r="AY16" s="133">
        <f>SUM(AY13:AY15)</f>
        <v>437554</v>
      </c>
      <c r="AZ16" s="133">
        <f>SUM(AZ13:AZ15)</f>
        <v>316688</v>
      </c>
      <c r="BA16" s="222">
        <v>317668</v>
      </c>
      <c r="BB16" s="94"/>
      <c r="BC16" s="94"/>
      <c r="BG16" s="3"/>
    </row>
    <row r="17" spans="1:59" ht="12.75" customHeight="1" x14ac:dyDescent="0.2">
      <c r="A17" s="88" t="s">
        <v>5</v>
      </c>
      <c r="B17" s="6"/>
      <c r="C17" s="34"/>
      <c r="D17" s="27"/>
      <c r="E17" s="353"/>
      <c r="F17" s="507"/>
      <c r="G17" s="507"/>
      <c r="H17" s="507"/>
      <c r="I17" s="146"/>
      <c r="J17" s="507"/>
      <c r="K17" s="507"/>
      <c r="L17" s="507"/>
      <c r="M17" s="146"/>
      <c r="N17" s="266"/>
      <c r="O17" s="266"/>
      <c r="P17" s="266"/>
      <c r="Q17" s="146"/>
      <c r="R17" s="266"/>
      <c r="S17" s="266"/>
      <c r="T17" s="266"/>
      <c r="U17" s="146"/>
      <c r="V17" s="266"/>
      <c r="W17" s="266"/>
      <c r="X17" s="266"/>
      <c r="Y17" s="146"/>
      <c r="Z17" s="275"/>
      <c r="AA17" s="266"/>
      <c r="AB17" s="266"/>
      <c r="AC17" s="146"/>
      <c r="AD17" s="154"/>
      <c r="AE17" s="142"/>
      <c r="AF17" s="142"/>
      <c r="AG17" s="142"/>
      <c r="AH17" s="106"/>
      <c r="AI17" s="146"/>
      <c r="AJ17" s="146"/>
      <c r="AK17" s="146"/>
      <c r="AL17" s="47"/>
      <c r="AM17" s="94"/>
      <c r="AN17" s="94"/>
      <c r="AO17" s="28"/>
      <c r="AP17" s="27"/>
      <c r="AQ17" s="44"/>
      <c r="AR17" s="134"/>
      <c r="AS17" s="134"/>
      <c r="AT17" s="134"/>
      <c r="AU17" s="134"/>
      <c r="AV17" s="134"/>
      <c r="AW17" s="132"/>
      <c r="AX17" s="132"/>
      <c r="AY17" s="37"/>
      <c r="AZ17" s="37"/>
      <c r="BA17" s="37"/>
      <c r="BB17" s="94"/>
      <c r="BC17" s="94"/>
      <c r="BG17" s="3"/>
    </row>
    <row r="18" spans="1:59" s="485" customFormat="1" ht="12.75" customHeight="1" x14ac:dyDescent="0.2">
      <c r="A18" s="413"/>
      <c r="B18" s="6" t="s">
        <v>304</v>
      </c>
      <c r="C18" s="464">
        <f t="shared" ref="C18:C36" si="3">I18-M18</f>
        <v>-9081</v>
      </c>
      <c r="D18" s="503">
        <f t="shared" ref="D18:D29" si="4">IF(OR((C18/M18)&gt;3,(C18/M18)&lt;-3),"n.m.",(C18/M18))</f>
        <v>-0.28840473846349285</v>
      </c>
      <c r="E18" s="502"/>
      <c r="F18" s="507"/>
      <c r="G18" s="507"/>
      <c r="H18" s="507"/>
      <c r="I18" s="146">
        <v>22406</v>
      </c>
      <c r="J18" s="507">
        <v>42572</v>
      </c>
      <c r="K18" s="507">
        <v>50525</v>
      </c>
      <c r="L18" s="507">
        <v>31407</v>
      </c>
      <c r="M18" s="146">
        <v>31487</v>
      </c>
      <c r="N18" s="507">
        <v>57210</v>
      </c>
      <c r="O18" s="507">
        <v>46334</v>
      </c>
      <c r="P18" s="507">
        <v>38835</v>
      </c>
      <c r="Q18" s="146">
        <v>58739</v>
      </c>
      <c r="R18" s="507">
        <v>89001</v>
      </c>
      <c r="S18" s="507">
        <v>93267</v>
      </c>
      <c r="T18" s="507">
        <v>46394</v>
      </c>
      <c r="U18" s="146"/>
      <c r="V18" s="507"/>
      <c r="W18" s="507"/>
      <c r="X18" s="507"/>
      <c r="Y18" s="146"/>
      <c r="Z18" s="507"/>
      <c r="AA18" s="507"/>
      <c r="AB18" s="507"/>
      <c r="AC18" s="146"/>
      <c r="AD18" s="117"/>
      <c r="AE18" s="142"/>
      <c r="AF18" s="142"/>
      <c r="AG18" s="142"/>
      <c r="AH18" s="491"/>
      <c r="AI18" s="146"/>
      <c r="AJ18" s="146"/>
      <c r="AK18" s="146"/>
      <c r="AL18" s="47"/>
      <c r="AM18" s="499">
        <f t="shared" ref="AM18:AM34" si="5">SUM(K18:M18)</f>
        <v>113419</v>
      </c>
      <c r="AN18" s="499">
        <f t="shared" ref="AN18:AN34" si="6">SUM(O18:Q18)</f>
        <v>143908</v>
      </c>
      <c r="AO18" s="512">
        <f t="shared" ref="AO18:AO31" si="7">AR18-AS18</f>
        <v>-45126</v>
      </c>
      <c r="AP18" s="503">
        <f t="shared" si="0"/>
        <v>-0.22437685526335416</v>
      </c>
      <c r="AQ18" s="487"/>
      <c r="AR18" s="504">
        <f t="shared" ref="AR18:AR34" si="8">SUM(J18:M18)</f>
        <v>155991</v>
      </c>
      <c r="AS18" s="504">
        <v>201117</v>
      </c>
      <c r="AT18" s="504">
        <v>277879</v>
      </c>
      <c r="AU18" s="504">
        <v>182044</v>
      </c>
      <c r="AV18" s="504">
        <v>141136</v>
      </c>
      <c r="AW18" s="504">
        <v>226244</v>
      </c>
      <c r="AX18" s="504"/>
      <c r="AY18" s="37"/>
      <c r="AZ18" s="37"/>
      <c r="BA18" s="37"/>
      <c r="BB18" s="488"/>
      <c r="BC18" s="488"/>
      <c r="BG18" s="486"/>
    </row>
    <row r="19" spans="1:59" s="485" customFormat="1" ht="12.75" customHeight="1" x14ac:dyDescent="0.2">
      <c r="A19" s="413"/>
      <c r="B19" s="6" t="s">
        <v>305</v>
      </c>
      <c r="C19" s="270">
        <f t="shared" si="3"/>
        <v>1347</v>
      </c>
      <c r="D19" s="95">
        <f t="shared" si="4"/>
        <v>0.32094353109363832</v>
      </c>
      <c r="E19" s="502"/>
      <c r="F19" s="274"/>
      <c r="G19" s="274"/>
      <c r="H19" s="274"/>
      <c r="I19" s="149">
        <v>5544</v>
      </c>
      <c r="J19" s="274">
        <v>5436</v>
      </c>
      <c r="K19" s="274">
        <v>6168</v>
      </c>
      <c r="L19" s="274">
        <v>7680</v>
      </c>
      <c r="M19" s="149">
        <v>4197</v>
      </c>
      <c r="N19" s="274">
        <v>7417</v>
      </c>
      <c r="O19" s="274">
        <v>4597</v>
      </c>
      <c r="P19" s="274">
        <v>5903</v>
      </c>
      <c r="Q19" s="149">
        <v>-2011</v>
      </c>
      <c r="R19" s="274">
        <v>-2346</v>
      </c>
      <c r="S19" s="274">
        <v>2005</v>
      </c>
      <c r="T19" s="274">
        <v>2966</v>
      </c>
      <c r="U19" s="146"/>
      <c r="V19" s="507"/>
      <c r="W19" s="507"/>
      <c r="X19" s="507"/>
      <c r="Y19" s="146"/>
      <c r="Z19" s="507"/>
      <c r="AA19" s="507"/>
      <c r="AB19" s="507"/>
      <c r="AC19" s="146"/>
      <c r="AD19" s="117"/>
      <c r="AE19" s="142"/>
      <c r="AF19" s="142"/>
      <c r="AG19" s="142"/>
      <c r="AH19" s="491"/>
      <c r="AI19" s="146"/>
      <c r="AJ19" s="146"/>
      <c r="AK19" s="146"/>
      <c r="AL19" s="47"/>
      <c r="AM19" s="246">
        <f t="shared" si="5"/>
        <v>18045</v>
      </c>
      <c r="AN19" s="246">
        <f t="shared" si="6"/>
        <v>8489</v>
      </c>
      <c r="AO19" s="103">
        <f t="shared" si="7"/>
        <v>7574</v>
      </c>
      <c r="AP19" s="95">
        <f t="shared" si="0"/>
        <v>0.47614257873891996</v>
      </c>
      <c r="AQ19" s="487"/>
      <c r="AR19" s="137">
        <f t="shared" si="8"/>
        <v>23481</v>
      </c>
      <c r="AS19" s="137">
        <v>15907</v>
      </c>
      <c r="AT19" s="137">
        <v>3497</v>
      </c>
      <c r="AU19" s="137">
        <v>13721</v>
      </c>
      <c r="AV19" s="137">
        <v>4928</v>
      </c>
      <c r="AW19" s="137">
        <v>5477</v>
      </c>
      <c r="AX19" s="504"/>
      <c r="AY19" s="37"/>
      <c r="AZ19" s="37"/>
      <c r="BA19" s="37"/>
      <c r="BB19" s="488"/>
      <c r="BC19" s="488"/>
      <c r="BG19" s="486"/>
    </row>
    <row r="20" spans="1:59" ht="12.75" customHeight="1" x14ac:dyDescent="0.2">
      <c r="A20" s="7"/>
      <c r="B20" s="487" t="s">
        <v>208</v>
      </c>
      <c r="C20" s="34">
        <f t="shared" si="3"/>
        <v>-7734</v>
      </c>
      <c r="D20" s="27">
        <f t="shared" si="4"/>
        <v>-0.21673579195157494</v>
      </c>
      <c r="E20" s="353"/>
      <c r="F20" s="507"/>
      <c r="G20" s="507"/>
      <c r="H20" s="507"/>
      <c r="I20" s="146">
        <f>+I18+I19</f>
        <v>27950</v>
      </c>
      <c r="J20" s="507">
        <f>SUM(J18:J19)</f>
        <v>48008</v>
      </c>
      <c r="K20" s="507">
        <f>SUM(K18:K19)</f>
        <v>56693</v>
      </c>
      <c r="L20" s="507">
        <v>39087</v>
      </c>
      <c r="M20" s="146">
        <v>35684</v>
      </c>
      <c r="N20" s="266">
        <v>64627</v>
      </c>
      <c r="O20" s="266">
        <f>51829-898</f>
        <v>50931</v>
      </c>
      <c r="P20" s="266">
        <v>44738</v>
      </c>
      <c r="Q20" s="146">
        <v>56728</v>
      </c>
      <c r="R20" s="266">
        <v>86655</v>
      </c>
      <c r="S20" s="266">
        <v>95272</v>
      </c>
      <c r="T20" s="266">
        <v>49360</v>
      </c>
      <c r="U20" s="146">
        <v>50089</v>
      </c>
      <c r="V20" s="266">
        <v>48182</v>
      </c>
      <c r="W20" s="266">
        <v>65080</v>
      </c>
      <c r="X20" s="266">
        <v>38928</v>
      </c>
      <c r="Y20" s="146">
        <v>43575</v>
      </c>
      <c r="Z20" s="266">
        <v>29690</v>
      </c>
      <c r="AA20" s="266">
        <v>28216</v>
      </c>
      <c r="AB20" s="266">
        <v>35846</v>
      </c>
      <c r="AC20" s="146">
        <v>52312</v>
      </c>
      <c r="AD20" s="117">
        <v>42278</v>
      </c>
      <c r="AE20" s="142">
        <v>58353</v>
      </c>
      <c r="AF20" s="142">
        <v>52413</v>
      </c>
      <c r="AG20" s="142">
        <v>78677</v>
      </c>
      <c r="AH20" s="106">
        <v>77445</v>
      </c>
      <c r="AI20" s="146">
        <v>67818</v>
      </c>
      <c r="AJ20" s="146">
        <v>52505</v>
      </c>
      <c r="AK20" s="146">
        <v>65428</v>
      </c>
      <c r="AL20" s="47"/>
      <c r="AM20" s="499">
        <f t="shared" si="5"/>
        <v>131464</v>
      </c>
      <c r="AN20" s="499">
        <f t="shared" si="6"/>
        <v>152397</v>
      </c>
      <c r="AO20" s="28">
        <f t="shared" si="7"/>
        <v>-37552</v>
      </c>
      <c r="AP20" s="27">
        <f t="shared" si="0"/>
        <v>-0.17303155411383073</v>
      </c>
      <c r="AQ20" s="44"/>
      <c r="AR20" s="504">
        <f>SUM(AR18:AR19)</f>
        <v>179472</v>
      </c>
      <c r="AS20" s="132">
        <f>SUM(N20:Q20)</f>
        <v>217024</v>
      </c>
      <c r="AT20" s="132">
        <f>SUM(R20:U20)</f>
        <v>281376</v>
      </c>
      <c r="AU20" s="132">
        <v>195765</v>
      </c>
      <c r="AV20" s="132">
        <v>146064</v>
      </c>
      <c r="AW20" s="132">
        <v>231721</v>
      </c>
      <c r="AX20" s="132">
        <v>263196</v>
      </c>
      <c r="AY20" s="37">
        <v>221165</v>
      </c>
      <c r="AZ20" s="37">
        <v>154427</v>
      </c>
      <c r="BA20" s="37">
        <v>164826</v>
      </c>
      <c r="BB20" s="94"/>
      <c r="BC20" s="94"/>
      <c r="BG20" s="3"/>
    </row>
    <row r="21" spans="1:59" ht="12.75" customHeight="1" x14ac:dyDescent="0.2">
      <c r="A21" s="7"/>
      <c r="B21" s="44" t="s">
        <v>66</v>
      </c>
      <c r="C21" s="34">
        <f t="shared" si="3"/>
        <v>-1085</v>
      </c>
      <c r="D21" s="27">
        <f t="shared" si="4"/>
        <v>-7.994400235779546E-2</v>
      </c>
      <c r="E21" s="353"/>
      <c r="F21" s="507"/>
      <c r="G21" s="507"/>
      <c r="H21" s="507"/>
      <c r="I21" s="146">
        <v>12487</v>
      </c>
      <c r="J21" s="507">
        <v>12411</v>
      </c>
      <c r="K21" s="507">
        <v>11698</v>
      </c>
      <c r="L21" s="507">
        <v>12687</v>
      </c>
      <c r="M21" s="146">
        <v>13572</v>
      </c>
      <c r="N21" s="266">
        <v>13896</v>
      </c>
      <c r="O21" s="266">
        <f>16652-4300-275</f>
        <v>12077</v>
      </c>
      <c r="P21" s="266">
        <v>11648</v>
      </c>
      <c r="Q21" s="146">
        <v>13773</v>
      </c>
      <c r="R21" s="266">
        <v>14496</v>
      </c>
      <c r="S21" s="266">
        <v>12178</v>
      </c>
      <c r="T21" s="266">
        <v>13744</v>
      </c>
      <c r="U21" s="146">
        <v>13380</v>
      </c>
      <c r="V21" s="266">
        <v>13818</v>
      </c>
      <c r="W21" s="266">
        <v>12075</v>
      </c>
      <c r="X21" s="266">
        <v>11462</v>
      </c>
      <c r="Y21" s="146">
        <v>11235</v>
      </c>
      <c r="Z21" s="266">
        <v>11808</v>
      </c>
      <c r="AA21" s="266">
        <v>10244</v>
      </c>
      <c r="AB21" s="266">
        <v>11347</v>
      </c>
      <c r="AC21" s="146">
        <v>12594</v>
      </c>
      <c r="AD21" s="117">
        <v>12403</v>
      </c>
      <c r="AE21" s="142">
        <v>10559</v>
      </c>
      <c r="AF21" s="142">
        <v>10399</v>
      </c>
      <c r="AG21" s="142">
        <v>11856</v>
      </c>
      <c r="AH21" s="106">
        <v>11055</v>
      </c>
      <c r="AI21" s="146">
        <v>9161</v>
      </c>
      <c r="AJ21" s="146">
        <v>9102</v>
      </c>
      <c r="AK21" s="146">
        <v>10041</v>
      </c>
      <c r="AL21" s="47"/>
      <c r="AM21" s="238">
        <f t="shared" si="5"/>
        <v>37957</v>
      </c>
      <c r="AN21" s="238">
        <f t="shared" si="6"/>
        <v>37498</v>
      </c>
      <c r="AO21" s="28">
        <f t="shared" si="7"/>
        <v>-1026</v>
      </c>
      <c r="AP21" s="27">
        <f t="shared" si="0"/>
        <v>-1.9963419854457719E-2</v>
      </c>
      <c r="AQ21" s="44"/>
      <c r="AR21" s="504">
        <f t="shared" si="8"/>
        <v>50368</v>
      </c>
      <c r="AS21" s="132">
        <f t="shared" ref="AS21:AS34" si="9">SUM(N21:Q21)</f>
        <v>51394</v>
      </c>
      <c r="AT21" s="132">
        <f t="shared" ref="AT21:AT31" si="10">SUM(R21:U21)</f>
        <v>53798</v>
      </c>
      <c r="AU21" s="132">
        <v>48590</v>
      </c>
      <c r="AV21" s="132">
        <v>45993</v>
      </c>
      <c r="AW21" s="132">
        <v>45217</v>
      </c>
      <c r="AX21" s="132">
        <v>39359</v>
      </c>
      <c r="AY21" s="37">
        <v>37196</v>
      </c>
      <c r="AZ21" s="37">
        <v>36920</v>
      </c>
      <c r="BA21" s="37">
        <v>31335</v>
      </c>
      <c r="BB21" s="94"/>
      <c r="BC21" s="94"/>
      <c r="BG21" s="3"/>
    </row>
    <row r="22" spans="1:59" ht="12.75" hidden="1" customHeight="1" x14ac:dyDescent="0.2">
      <c r="A22" s="7"/>
      <c r="B22" s="6" t="s">
        <v>191</v>
      </c>
      <c r="C22" s="34">
        <f t="shared" si="3"/>
        <v>0</v>
      </c>
      <c r="D22" s="27" t="e">
        <f t="shared" si="4"/>
        <v>#DIV/0!</v>
      </c>
      <c r="E22" s="353"/>
      <c r="F22" s="512"/>
      <c r="G22" s="512"/>
      <c r="H22" s="512"/>
      <c r="I22" s="26"/>
      <c r="J22" s="512"/>
      <c r="K22" s="512"/>
      <c r="L22" s="512"/>
      <c r="M22" s="26"/>
      <c r="N22" s="28"/>
      <c r="O22" s="28"/>
      <c r="P22" s="28"/>
      <c r="Q22" s="26"/>
      <c r="R22" s="28"/>
      <c r="S22" s="28"/>
      <c r="T22" s="28"/>
      <c r="U22" s="26"/>
      <c r="V22" s="28">
        <v>0</v>
      </c>
      <c r="W22" s="28">
        <v>0</v>
      </c>
      <c r="X22" s="28">
        <v>0</v>
      </c>
      <c r="Y22" s="26">
        <v>0</v>
      </c>
      <c r="Z22" s="28">
        <v>0</v>
      </c>
      <c r="AA22" s="28">
        <v>0</v>
      </c>
      <c r="AB22" s="28">
        <v>0</v>
      </c>
      <c r="AC22" s="26">
        <v>0</v>
      </c>
      <c r="AD22" s="163"/>
      <c r="AE22" s="163"/>
      <c r="AF22" s="163"/>
      <c r="AG22" s="167"/>
      <c r="AH22" s="132"/>
      <c r="AI22" s="167"/>
      <c r="AJ22" s="167"/>
      <c r="AK22" s="167"/>
      <c r="AL22" s="134"/>
      <c r="AM22" s="238">
        <f t="shared" si="5"/>
        <v>0</v>
      </c>
      <c r="AN22" s="238">
        <f t="shared" si="6"/>
        <v>0</v>
      </c>
      <c r="AO22" s="183">
        <f t="shared" si="7"/>
        <v>0</v>
      </c>
      <c r="AP22" s="27" t="e">
        <f t="shared" si="0"/>
        <v>#DIV/0!</v>
      </c>
      <c r="AQ22" s="172"/>
      <c r="AR22" s="504">
        <f t="shared" si="8"/>
        <v>0</v>
      </c>
      <c r="AS22" s="132">
        <f t="shared" si="9"/>
        <v>0</v>
      </c>
      <c r="AT22" s="132">
        <f t="shared" si="10"/>
        <v>0</v>
      </c>
      <c r="AU22" s="37">
        <v>0</v>
      </c>
      <c r="AV22" s="37">
        <v>0</v>
      </c>
      <c r="AW22" s="37">
        <v>0</v>
      </c>
      <c r="AX22" s="37">
        <v>0</v>
      </c>
      <c r="AY22" s="37">
        <v>0</v>
      </c>
      <c r="AZ22" s="37"/>
      <c r="BA22" s="37"/>
      <c r="BB22" s="94"/>
      <c r="BC22" s="94"/>
      <c r="BG22" s="3"/>
    </row>
    <row r="23" spans="1:59" ht="12.75" customHeight="1" x14ac:dyDescent="0.2">
      <c r="A23" s="7"/>
      <c r="B23" s="44" t="s">
        <v>92</v>
      </c>
      <c r="C23" s="34">
        <f t="shared" si="3"/>
        <v>-1205</v>
      </c>
      <c r="D23" s="27">
        <f t="shared" si="4"/>
        <v>-0.24845360824742269</v>
      </c>
      <c r="E23" s="353"/>
      <c r="F23" s="507"/>
      <c r="G23" s="507"/>
      <c r="H23" s="507"/>
      <c r="I23" s="146">
        <v>3645</v>
      </c>
      <c r="J23" s="507">
        <v>4416</v>
      </c>
      <c r="K23" s="507">
        <v>4503</v>
      </c>
      <c r="L23" s="507">
        <v>3784</v>
      </c>
      <c r="M23" s="146">
        <v>4850</v>
      </c>
      <c r="N23" s="266">
        <v>4636</v>
      </c>
      <c r="O23" s="266">
        <v>5332</v>
      </c>
      <c r="P23" s="266">
        <v>5193</v>
      </c>
      <c r="Q23" s="146">
        <v>6806</v>
      </c>
      <c r="R23" s="266">
        <v>6617</v>
      </c>
      <c r="S23" s="266">
        <v>6104</v>
      </c>
      <c r="T23" s="266">
        <v>5375</v>
      </c>
      <c r="U23" s="146">
        <v>5783</v>
      </c>
      <c r="V23" s="266">
        <v>5147</v>
      </c>
      <c r="W23" s="266">
        <v>4751</v>
      </c>
      <c r="X23" s="266">
        <v>4541</v>
      </c>
      <c r="Y23" s="146">
        <v>4327</v>
      </c>
      <c r="Z23" s="266">
        <v>3862</v>
      </c>
      <c r="AA23" s="266">
        <v>4063</v>
      </c>
      <c r="AB23" s="266">
        <v>3347</v>
      </c>
      <c r="AC23" s="146">
        <v>3325</v>
      </c>
      <c r="AD23" s="117">
        <v>3357</v>
      </c>
      <c r="AE23" s="142">
        <v>4334</v>
      </c>
      <c r="AF23" s="142">
        <v>4309</v>
      </c>
      <c r="AG23" s="142">
        <v>4262</v>
      </c>
      <c r="AH23" s="106">
        <v>4096</v>
      </c>
      <c r="AI23" s="146">
        <v>3153</v>
      </c>
      <c r="AJ23" s="146">
        <v>3830</v>
      </c>
      <c r="AK23" s="146">
        <v>5904</v>
      </c>
      <c r="AL23" s="47"/>
      <c r="AM23" s="238">
        <f t="shared" si="5"/>
        <v>13137</v>
      </c>
      <c r="AN23" s="238">
        <f t="shared" si="6"/>
        <v>17331</v>
      </c>
      <c r="AO23" s="28">
        <f t="shared" si="7"/>
        <v>-4414</v>
      </c>
      <c r="AP23" s="27">
        <f t="shared" si="0"/>
        <v>-0.20093777029180135</v>
      </c>
      <c r="AQ23" s="44"/>
      <c r="AR23" s="504">
        <f t="shared" si="8"/>
        <v>17553</v>
      </c>
      <c r="AS23" s="132">
        <f t="shared" si="9"/>
        <v>21967</v>
      </c>
      <c r="AT23" s="132">
        <f t="shared" si="10"/>
        <v>23879</v>
      </c>
      <c r="AU23" s="132">
        <v>18766</v>
      </c>
      <c r="AV23" s="132">
        <v>14597</v>
      </c>
      <c r="AW23" s="132">
        <v>16262</v>
      </c>
      <c r="AX23" s="132">
        <v>16983</v>
      </c>
      <c r="AY23" s="37">
        <v>17399</v>
      </c>
      <c r="AZ23" s="37">
        <v>15700</v>
      </c>
      <c r="BA23" s="37">
        <v>16193</v>
      </c>
      <c r="BB23" s="94"/>
      <c r="BC23" s="94"/>
      <c r="BG23" s="3"/>
    </row>
    <row r="24" spans="1:59" ht="12.75" customHeight="1" x14ac:dyDescent="0.2">
      <c r="A24" s="7"/>
      <c r="B24" s="44" t="s">
        <v>68</v>
      </c>
      <c r="C24" s="34">
        <f t="shared" si="3"/>
        <v>-413</v>
      </c>
      <c r="D24" s="27">
        <f t="shared" si="4"/>
        <v>-9.7405660377358497E-2</v>
      </c>
      <c r="E24" s="353"/>
      <c r="F24" s="507"/>
      <c r="G24" s="507"/>
      <c r="H24" s="507"/>
      <c r="I24" s="146">
        <v>3827</v>
      </c>
      <c r="J24" s="507">
        <v>4013</v>
      </c>
      <c r="K24" s="507">
        <v>3786</v>
      </c>
      <c r="L24" s="507">
        <v>4094</v>
      </c>
      <c r="M24" s="146">
        <v>4240</v>
      </c>
      <c r="N24" s="266">
        <v>4490</v>
      </c>
      <c r="O24" s="266">
        <v>4349</v>
      </c>
      <c r="P24" s="266">
        <v>4395</v>
      </c>
      <c r="Q24" s="146">
        <v>4575</v>
      </c>
      <c r="R24" s="266">
        <v>5263</v>
      </c>
      <c r="S24" s="266">
        <v>5085</v>
      </c>
      <c r="T24" s="266">
        <v>4655</v>
      </c>
      <c r="U24" s="146">
        <v>4086</v>
      </c>
      <c r="V24" s="266">
        <v>4079</v>
      </c>
      <c r="W24" s="266">
        <v>4027</v>
      </c>
      <c r="X24" s="266">
        <v>3885</v>
      </c>
      <c r="Y24" s="146">
        <v>3702</v>
      </c>
      <c r="Z24" s="266">
        <v>4062</v>
      </c>
      <c r="AA24" s="266">
        <v>4010</v>
      </c>
      <c r="AB24" s="266">
        <v>3660</v>
      </c>
      <c r="AC24" s="146">
        <v>3721</v>
      </c>
      <c r="AD24" s="117">
        <v>3733</v>
      </c>
      <c r="AE24" s="142">
        <v>3630</v>
      </c>
      <c r="AF24" s="142">
        <v>3659</v>
      </c>
      <c r="AG24" s="142">
        <v>3478</v>
      </c>
      <c r="AH24" s="106">
        <v>3407</v>
      </c>
      <c r="AI24" s="146">
        <v>3507</v>
      </c>
      <c r="AJ24" s="146">
        <v>3794</v>
      </c>
      <c r="AK24" s="146">
        <v>3821</v>
      </c>
      <c r="AL24" s="47"/>
      <c r="AM24" s="238">
        <f t="shared" si="5"/>
        <v>12120</v>
      </c>
      <c r="AN24" s="238">
        <f t="shared" si="6"/>
        <v>13319</v>
      </c>
      <c r="AO24" s="28">
        <f t="shared" si="7"/>
        <v>-1676</v>
      </c>
      <c r="AP24" s="27">
        <f t="shared" si="0"/>
        <v>-9.4109719804593178E-2</v>
      </c>
      <c r="AQ24" s="44"/>
      <c r="AR24" s="504">
        <f t="shared" si="8"/>
        <v>16133</v>
      </c>
      <c r="AS24" s="132">
        <f t="shared" si="9"/>
        <v>17809</v>
      </c>
      <c r="AT24" s="132">
        <f t="shared" si="10"/>
        <v>19089</v>
      </c>
      <c r="AU24" s="132">
        <v>15693</v>
      </c>
      <c r="AV24" s="132">
        <v>15453</v>
      </c>
      <c r="AW24" s="132">
        <v>14500</v>
      </c>
      <c r="AX24" s="132">
        <v>14529</v>
      </c>
      <c r="AY24" s="37">
        <v>12701</v>
      </c>
      <c r="AZ24" s="37">
        <v>9706</v>
      </c>
      <c r="BA24" s="37">
        <v>10444</v>
      </c>
      <c r="BB24" s="94"/>
      <c r="BC24" s="94"/>
      <c r="BG24" s="3"/>
    </row>
    <row r="25" spans="1:59" ht="12.75" customHeight="1" x14ac:dyDescent="0.2">
      <c r="A25" s="7"/>
      <c r="B25" s="44" t="s">
        <v>69</v>
      </c>
      <c r="C25" s="34">
        <f t="shared" si="3"/>
        <v>-511</v>
      </c>
      <c r="D25" s="27">
        <f t="shared" si="4"/>
        <v>-0.12363900314541496</v>
      </c>
      <c r="E25" s="353"/>
      <c r="F25" s="507"/>
      <c r="G25" s="507"/>
      <c r="H25" s="507"/>
      <c r="I25" s="146">
        <v>3622</v>
      </c>
      <c r="J25" s="507">
        <v>4103</v>
      </c>
      <c r="K25" s="507">
        <v>4087</v>
      </c>
      <c r="L25" s="507">
        <v>3963</v>
      </c>
      <c r="M25" s="146">
        <v>4133</v>
      </c>
      <c r="N25" s="266">
        <v>4924</v>
      </c>
      <c r="O25" s="266">
        <v>3872</v>
      </c>
      <c r="P25" s="266">
        <v>3885</v>
      </c>
      <c r="Q25" s="146">
        <v>3756</v>
      </c>
      <c r="R25" s="266">
        <v>3726</v>
      </c>
      <c r="S25" s="266">
        <v>3429</v>
      </c>
      <c r="T25" s="266">
        <v>4011</v>
      </c>
      <c r="U25" s="146">
        <v>3664</v>
      </c>
      <c r="V25" s="266">
        <v>3374</v>
      </c>
      <c r="W25" s="266">
        <v>3740</v>
      </c>
      <c r="X25" s="266">
        <v>3502</v>
      </c>
      <c r="Y25" s="146">
        <v>3811</v>
      </c>
      <c r="Z25" s="266">
        <v>4293</v>
      </c>
      <c r="AA25" s="266">
        <v>4604</v>
      </c>
      <c r="AB25" s="266">
        <v>4576</v>
      </c>
      <c r="AC25" s="146">
        <v>4647</v>
      </c>
      <c r="AD25" s="117">
        <v>4496</v>
      </c>
      <c r="AE25" s="142">
        <v>4310</v>
      </c>
      <c r="AF25" s="142">
        <v>4532</v>
      </c>
      <c r="AG25" s="142">
        <v>4498</v>
      </c>
      <c r="AH25" s="106">
        <v>4418</v>
      </c>
      <c r="AI25" s="146">
        <v>4199</v>
      </c>
      <c r="AJ25" s="146">
        <v>4325</v>
      </c>
      <c r="AK25" s="146">
        <v>4019</v>
      </c>
      <c r="AL25" s="47"/>
      <c r="AM25" s="238">
        <f t="shared" si="5"/>
        <v>12183</v>
      </c>
      <c r="AN25" s="238">
        <f t="shared" si="6"/>
        <v>11513</v>
      </c>
      <c r="AO25" s="28">
        <f t="shared" si="7"/>
        <v>-151</v>
      </c>
      <c r="AP25" s="27">
        <f t="shared" si="0"/>
        <v>-9.1865912271095699E-3</v>
      </c>
      <c r="AQ25" s="44"/>
      <c r="AR25" s="504">
        <f t="shared" si="8"/>
        <v>16286</v>
      </c>
      <c r="AS25" s="132">
        <f t="shared" si="9"/>
        <v>16437</v>
      </c>
      <c r="AT25" s="132">
        <f t="shared" si="10"/>
        <v>14830</v>
      </c>
      <c r="AU25" s="132">
        <v>14427</v>
      </c>
      <c r="AV25" s="132">
        <v>18120</v>
      </c>
      <c r="AW25" s="132">
        <v>17836</v>
      </c>
      <c r="AX25" s="132">
        <v>16961</v>
      </c>
      <c r="AY25" s="37">
        <v>14662</v>
      </c>
      <c r="AZ25" s="37">
        <v>13001</v>
      </c>
      <c r="BA25" s="37">
        <v>11453</v>
      </c>
      <c r="BB25" s="94"/>
      <c r="BC25" s="94"/>
      <c r="BG25" s="3"/>
    </row>
    <row r="26" spans="1:59" ht="12.75" customHeight="1" x14ac:dyDescent="0.2">
      <c r="A26" s="7"/>
      <c r="B26" s="44" t="s">
        <v>64</v>
      </c>
      <c r="C26" s="34">
        <f t="shared" si="3"/>
        <v>-777</v>
      </c>
      <c r="D26" s="27">
        <f t="shared" si="4"/>
        <v>-0.24705882352941178</v>
      </c>
      <c r="E26" s="353"/>
      <c r="F26" s="507"/>
      <c r="G26" s="507"/>
      <c r="H26" s="507"/>
      <c r="I26" s="146">
        <v>2368</v>
      </c>
      <c r="J26" s="507">
        <v>2231</v>
      </c>
      <c r="K26" s="507">
        <v>2706</v>
      </c>
      <c r="L26" s="507">
        <v>1856</v>
      </c>
      <c r="M26" s="146">
        <v>3145</v>
      </c>
      <c r="N26" s="266">
        <v>2822</v>
      </c>
      <c r="O26" s="266">
        <v>2286</v>
      </c>
      <c r="P26" s="266">
        <v>1893</v>
      </c>
      <c r="Q26" s="146">
        <v>2378</v>
      </c>
      <c r="R26" s="266">
        <v>2383</v>
      </c>
      <c r="S26" s="266">
        <v>2974</v>
      </c>
      <c r="T26" s="266">
        <v>1630</v>
      </c>
      <c r="U26" s="146">
        <v>540</v>
      </c>
      <c r="V26" s="266">
        <v>172</v>
      </c>
      <c r="W26" s="266">
        <v>429</v>
      </c>
      <c r="X26" s="266">
        <v>277</v>
      </c>
      <c r="Y26" s="146">
        <v>-260</v>
      </c>
      <c r="Z26" s="266">
        <v>198</v>
      </c>
      <c r="AA26" s="266">
        <v>1663</v>
      </c>
      <c r="AB26" s="266">
        <v>2707</v>
      </c>
      <c r="AC26" s="146">
        <v>3325</v>
      </c>
      <c r="AD26" s="117">
        <v>4900</v>
      </c>
      <c r="AE26" s="142">
        <v>6118</v>
      </c>
      <c r="AF26" s="142">
        <v>5934</v>
      </c>
      <c r="AG26" s="142">
        <v>5847</v>
      </c>
      <c r="AH26" s="106">
        <v>5089</v>
      </c>
      <c r="AI26" s="146">
        <v>4823</v>
      </c>
      <c r="AJ26" s="146">
        <v>5321</v>
      </c>
      <c r="AK26" s="146">
        <v>4888</v>
      </c>
      <c r="AL26" s="47"/>
      <c r="AM26" s="238">
        <f t="shared" si="5"/>
        <v>7707</v>
      </c>
      <c r="AN26" s="238">
        <f t="shared" si="6"/>
        <v>6557</v>
      </c>
      <c r="AO26" s="28">
        <f t="shared" si="7"/>
        <v>559</v>
      </c>
      <c r="AP26" s="27">
        <f t="shared" si="0"/>
        <v>5.96012368056296E-2</v>
      </c>
      <c r="AQ26" s="44"/>
      <c r="AR26" s="504">
        <f t="shared" si="8"/>
        <v>9938</v>
      </c>
      <c r="AS26" s="132">
        <f t="shared" si="9"/>
        <v>9379</v>
      </c>
      <c r="AT26" s="132">
        <f t="shared" si="10"/>
        <v>7527</v>
      </c>
      <c r="AU26" s="132">
        <v>618</v>
      </c>
      <c r="AV26" s="132">
        <v>7893</v>
      </c>
      <c r="AW26" s="132">
        <v>22799</v>
      </c>
      <c r="AX26" s="132">
        <v>20121</v>
      </c>
      <c r="AY26" s="37">
        <v>10820</v>
      </c>
      <c r="AZ26" s="37">
        <v>7823</v>
      </c>
      <c r="BA26" s="37">
        <v>3959</v>
      </c>
      <c r="BB26" s="94"/>
      <c r="BC26" s="94"/>
      <c r="BG26" s="3"/>
    </row>
    <row r="27" spans="1:59" ht="12.75" customHeight="1" x14ac:dyDescent="0.2">
      <c r="A27" s="7"/>
      <c r="B27" s="44" t="s">
        <v>70</v>
      </c>
      <c r="C27" s="34">
        <f t="shared" si="3"/>
        <v>-1876</v>
      </c>
      <c r="D27" s="27">
        <f t="shared" si="4"/>
        <v>-0.2040905134899913</v>
      </c>
      <c r="E27" s="353"/>
      <c r="F27" s="507"/>
      <c r="G27" s="507"/>
      <c r="H27" s="507"/>
      <c r="I27" s="146">
        <v>7316</v>
      </c>
      <c r="J27" s="507">
        <v>8088</v>
      </c>
      <c r="K27" s="507">
        <v>8977</v>
      </c>
      <c r="L27" s="507">
        <v>9260</v>
      </c>
      <c r="M27" s="146">
        <v>9192</v>
      </c>
      <c r="N27" s="266">
        <v>12634</v>
      </c>
      <c r="O27" s="266">
        <v>10435</v>
      </c>
      <c r="P27" s="266">
        <v>11255</v>
      </c>
      <c r="Q27" s="146">
        <v>10637</v>
      </c>
      <c r="R27" s="266">
        <v>14217</v>
      </c>
      <c r="S27" s="266">
        <v>12149</v>
      </c>
      <c r="T27" s="266">
        <v>11678</v>
      </c>
      <c r="U27" s="146">
        <v>10345</v>
      </c>
      <c r="V27" s="266">
        <v>12296</v>
      </c>
      <c r="W27" s="266">
        <v>9716</v>
      </c>
      <c r="X27" s="266">
        <v>7759</v>
      </c>
      <c r="Y27" s="146">
        <v>7413</v>
      </c>
      <c r="Z27" s="266">
        <v>5941</v>
      </c>
      <c r="AA27" s="266">
        <v>13192</v>
      </c>
      <c r="AB27" s="266">
        <v>10569</v>
      </c>
      <c r="AC27" s="146">
        <v>11595</v>
      </c>
      <c r="AD27" s="117">
        <v>10702</v>
      </c>
      <c r="AE27" s="142">
        <v>12891</v>
      </c>
      <c r="AF27" s="142">
        <v>9494</v>
      </c>
      <c r="AG27" s="142">
        <v>12158</v>
      </c>
      <c r="AH27" s="106">
        <v>8743</v>
      </c>
      <c r="AI27" s="146">
        <v>9700</v>
      </c>
      <c r="AJ27" s="146">
        <v>9574</v>
      </c>
      <c r="AK27" s="146">
        <v>14575</v>
      </c>
      <c r="AL27" s="47"/>
      <c r="AM27" s="238">
        <f t="shared" si="5"/>
        <v>27429</v>
      </c>
      <c r="AN27" s="238">
        <f t="shared" si="6"/>
        <v>32327</v>
      </c>
      <c r="AO27" s="28">
        <f t="shared" si="7"/>
        <v>-9444</v>
      </c>
      <c r="AP27" s="27">
        <f t="shared" si="0"/>
        <v>-0.21004870888103022</v>
      </c>
      <c r="AQ27" s="44"/>
      <c r="AR27" s="504">
        <f t="shared" si="8"/>
        <v>35517</v>
      </c>
      <c r="AS27" s="132">
        <f t="shared" si="9"/>
        <v>44961</v>
      </c>
      <c r="AT27" s="132">
        <f t="shared" si="10"/>
        <v>48389</v>
      </c>
      <c r="AU27" s="132">
        <v>37184</v>
      </c>
      <c r="AV27" s="132">
        <v>41297</v>
      </c>
      <c r="AW27" s="132">
        <v>45245</v>
      </c>
      <c r="AX27" s="132">
        <v>42592</v>
      </c>
      <c r="AY27" s="37">
        <v>38066</v>
      </c>
      <c r="AZ27" s="37">
        <v>26292</v>
      </c>
      <c r="BA27" s="37">
        <v>21726</v>
      </c>
      <c r="BB27" s="94"/>
      <c r="BC27" s="94"/>
      <c r="BG27" s="3"/>
    </row>
    <row r="28" spans="1:59" ht="12.75" customHeight="1" x14ac:dyDescent="0.2">
      <c r="A28" s="7"/>
      <c r="B28" s="44" t="s">
        <v>71</v>
      </c>
      <c r="C28" s="34">
        <f t="shared" si="3"/>
        <v>-124</v>
      </c>
      <c r="D28" s="27">
        <f t="shared" si="4"/>
        <v>-5.4385964912280704E-2</v>
      </c>
      <c r="E28" s="353"/>
      <c r="F28" s="507"/>
      <c r="G28" s="507"/>
      <c r="H28" s="507"/>
      <c r="I28" s="146">
        <v>2156</v>
      </c>
      <c r="J28" s="507">
        <v>4130</v>
      </c>
      <c r="K28" s="507">
        <v>2981</v>
      </c>
      <c r="L28" s="507">
        <v>2285</v>
      </c>
      <c r="M28" s="146">
        <v>2280</v>
      </c>
      <c r="N28" s="266">
        <v>2386</v>
      </c>
      <c r="O28" s="266">
        <f>3210-837</f>
        <v>2373</v>
      </c>
      <c r="P28" s="266">
        <v>2307</v>
      </c>
      <c r="Q28" s="146">
        <v>2322</v>
      </c>
      <c r="R28" s="266">
        <v>2425</v>
      </c>
      <c r="S28" s="266">
        <v>2214</v>
      </c>
      <c r="T28" s="266">
        <v>3116</v>
      </c>
      <c r="U28" s="146">
        <v>2710</v>
      </c>
      <c r="V28" s="266">
        <v>1260</v>
      </c>
      <c r="W28" s="266">
        <v>1226</v>
      </c>
      <c r="X28" s="266">
        <v>1204</v>
      </c>
      <c r="Y28" s="146">
        <v>1192</v>
      </c>
      <c r="Z28" s="266">
        <v>1390</v>
      </c>
      <c r="AA28" s="266">
        <v>1936</v>
      </c>
      <c r="AB28" s="266">
        <v>1372</v>
      </c>
      <c r="AC28" s="146">
        <v>1355</v>
      </c>
      <c r="AD28" s="117">
        <v>1478</v>
      </c>
      <c r="AE28" s="142">
        <v>1452</v>
      </c>
      <c r="AF28" s="142">
        <v>1389</v>
      </c>
      <c r="AG28" s="142">
        <v>1286</v>
      </c>
      <c r="AH28" s="106">
        <v>1349</v>
      </c>
      <c r="AI28" s="146">
        <v>1280</v>
      </c>
      <c r="AJ28" s="146">
        <v>1418</v>
      </c>
      <c r="AK28" s="146">
        <v>1381</v>
      </c>
      <c r="AL28" s="47"/>
      <c r="AM28" s="238">
        <f t="shared" si="5"/>
        <v>7546</v>
      </c>
      <c r="AN28" s="238">
        <f t="shared" si="6"/>
        <v>7002</v>
      </c>
      <c r="AO28" s="28">
        <f t="shared" si="7"/>
        <v>2288</v>
      </c>
      <c r="AP28" s="27">
        <f t="shared" si="0"/>
        <v>0.24371538133787815</v>
      </c>
      <c r="AQ28" s="44"/>
      <c r="AR28" s="504">
        <f t="shared" si="8"/>
        <v>11676</v>
      </c>
      <c r="AS28" s="132">
        <f t="shared" si="9"/>
        <v>9388</v>
      </c>
      <c r="AT28" s="132">
        <f t="shared" si="10"/>
        <v>10465</v>
      </c>
      <c r="AU28" s="132">
        <v>4882</v>
      </c>
      <c r="AV28" s="132">
        <v>6053</v>
      </c>
      <c r="AW28" s="132">
        <v>5605</v>
      </c>
      <c r="AX28" s="132">
        <v>5428</v>
      </c>
      <c r="AY28" s="37">
        <v>3923</v>
      </c>
      <c r="AZ28" s="37">
        <v>2565</v>
      </c>
      <c r="BA28" s="37">
        <v>2849</v>
      </c>
      <c r="BB28" s="94"/>
      <c r="BC28" s="94"/>
      <c r="BG28" s="3"/>
    </row>
    <row r="29" spans="1:59" ht="12.75" customHeight="1" x14ac:dyDescent="0.2">
      <c r="A29" s="6"/>
      <c r="B29" s="44" t="s">
        <v>72</v>
      </c>
      <c r="C29" s="34">
        <f t="shared" si="3"/>
        <v>-683</v>
      </c>
      <c r="D29" s="27">
        <f t="shared" si="4"/>
        <v>-0.26391035548686242</v>
      </c>
      <c r="E29" s="353"/>
      <c r="F29" s="507"/>
      <c r="G29" s="507"/>
      <c r="H29" s="507"/>
      <c r="I29" s="146">
        <v>1905</v>
      </c>
      <c r="J29" s="507">
        <v>1993</v>
      </c>
      <c r="K29" s="507">
        <v>2071</v>
      </c>
      <c r="L29" s="507">
        <v>3527</v>
      </c>
      <c r="M29" s="146">
        <v>2588</v>
      </c>
      <c r="N29" s="266">
        <v>2802</v>
      </c>
      <c r="O29" s="266">
        <v>2446</v>
      </c>
      <c r="P29" s="266">
        <v>2763</v>
      </c>
      <c r="Q29" s="146">
        <v>3039</v>
      </c>
      <c r="R29" s="266">
        <v>3450</v>
      </c>
      <c r="S29" s="266">
        <v>3476</v>
      </c>
      <c r="T29" s="266">
        <v>3749</v>
      </c>
      <c r="U29" s="146">
        <v>3883</v>
      </c>
      <c r="V29" s="266">
        <v>4449</v>
      </c>
      <c r="W29" s="266">
        <v>5476</v>
      </c>
      <c r="X29" s="266">
        <v>4114</v>
      </c>
      <c r="Y29" s="146">
        <v>3772</v>
      </c>
      <c r="Z29" s="266">
        <v>4637</v>
      </c>
      <c r="AA29" s="266">
        <v>4127</v>
      </c>
      <c r="AB29" s="266">
        <v>3304</v>
      </c>
      <c r="AC29" s="146">
        <v>3855</v>
      </c>
      <c r="AD29" s="117">
        <v>4230</v>
      </c>
      <c r="AE29" s="142">
        <v>3260</v>
      </c>
      <c r="AF29" s="142">
        <v>3297</v>
      </c>
      <c r="AG29" s="142">
        <v>3251</v>
      </c>
      <c r="AH29" s="106">
        <v>3137</v>
      </c>
      <c r="AI29" s="146">
        <v>3316</v>
      </c>
      <c r="AJ29" s="146">
        <v>2833</v>
      </c>
      <c r="AK29" s="146">
        <v>2819</v>
      </c>
      <c r="AL29" s="47"/>
      <c r="AM29" s="238">
        <f t="shared" si="5"/>
        <v>8186</v>
      </c>
      <c r="AN29" s="238">
        <f t="shared" si="6"/>
        <v>8248</v>
      </c>
      <c r="AO29" s="28">
        <f t="shared" si="7"/>
        <v>-871</v>
      </c>
      <c r="AP29" s="27">
        <f t="shared" si="0"/>
        <v>-7.8823529411764709E-2</v>
      </c>
      <c r="AQ29" s="44"/>
      <c r="AR29" s="504">
        <f t="shared" si="8"/>
        <v>10179</v>
      </c>
      <c r="AS29" s="132">
        <f t="shared" si="9"/>
        <v>11050</v>
      </c>
      <c r="AT29" s="132">
        <f t="shared" si="10"/>
        <v>14558</v>
      </c>
      <c r="AU29" s="132">
        <v>17811</v>
      </c>
      <c r="AV29" s="132">
        <v>15923</v>
      </c>
      <c r="AW29" s="132">
        <v>14038</v>
      </c>
      <c r="AX29" s="132">
        <v>12105</v>
      </c>
      <c r="AY29" s="37">
        <v>9243</v>
      </c>
      <c r="AZ29" s="37">
        <v>7924</v>
      </c>
      <c r="BA29" s="37">
        <v>8240</v>
      </c>
      <c r="BB29" s="94"/>
      <c r="BC29" s="94"/>
      <c r="BG29" s="3"/>
    </row>
    <row r="30" spans="1:59" ht="12.75" customHeight="1" x14ac:dyDescent="0.2">
      <c r="A30" s="7"/>
      <c r="B30" s="6" t="s">
        <v>160</v>
      </c>
      <c r="C30" s="34">
        <f t="shared" si="3"/>
        <v>0</v>
      </c>
      <c r="D30" s="352">
        <v>0</v>
      </c>
      <c r="E30" s="353"/>
      <c r="F30" s="493"/>
      <c r="G30" s="493"/>
      <c r="H30" s="493"/>
      <c r="I30" s="112">
        <v>0</v>
      </c>
      <c r="J30" s="493">
        <v>0</v>
      </c>
      <c r="K30" s="493">
        <v>0</v>
      </c>
      <c r="L30" s="493">
        <v>15042</v>
      </c>
      <c r="M30" s="112">
        <v>0</v>
      </c>
      <c r="N30" s="143">
        <v>8153</v>
      </c>
      <c r="O30" s="143">
        <f>4300+275+899</f>
        <v>5474</v>
      </c>
      <c r="P30" s="143">
        <v>0</v>
      </c>
      <c r="Q30" s="112">
        <v>0</v>
      </c>
      <c r="R30" s="143">
        <v>0</v>
      </c>
      <c r="S30" s="143">
        <v>0</v>
      </c>
      <c r="T30" s="143">
        <v>0</v>
      </c>
      <c r="U30" s="112">
        <v>0</v>
      </c>
      <c r="V30" s="143">
        <v>0</v>
      </c>
      <c r="W30" s="143">
        <v>0</v>
      </c>
      <c r="X30" s="143">
        <v>0</v>
      </c>
      <c r="Y30" s="112">
        <v>0</v>
      </c>
      <c r="Z30" s="266">
        <v>142</v>
      </c>
      <c r="AA30" s="266">
        <v>2623</v>
      </c>
      <c r="AB30" s="143">
        <v>0</v>
      </c>
      <c r="AC30" s="112">
        <v>0</v>
      </c>
      <c r="AD30" s="145">
        <v>4000</v>
      </c>
      <c r="AE30" s="144">
        <v>0</v>
      </c>
      <c r="AF30" s="144">
        <v>0</v>
      </c>
      <c r="AG30" s="144">
        <v>0</v>
      </c>
      <c r="AH30" s="135">
        <v>0</v>
      </c>
      <c r="AI30" s="147">
        <v>0</v>
      </c>
      <c r="AJ30" s="146"/>
      <c r="AK30" s="146"/>
      <c r="AL30" s="47"/>
      <c r="AM30" s="143">
        <f t="shared" si="5"/>
        <v>15042</v>
      </c>
      <c r="AN30" s="28">
        <f t="shared" si="6"/>
        <v>5474</v>
      </c>
      <c r="AO30" s="143">
        <f t="shared" si="7"/>
        <v>1415</v>
      </c>
      <c r="AP30" s="463">
        <f t="shared" si="0"/>
        <v>0.10383796873853379</v>
      </c>
      <c r="AQ30" s="47"/>
      <c r="AR30" s="504">
        <f t="shared" si="8"/>
        <v>15042</v>
      </c>
      <c r="AS30" s="147">
        <f>SUM(N30:Q30)</f>
        <v>13627</v>
      </c>
      <c r="AT30" s="147">
        <v>0</v>
      </c>
      <c r="AU30" s="147">
        <v>0</v>
      </c>
      <c r="AV30" s="135">
        <v>2765</v>
      </c>
      <c r="AW30" s="415">
        <v>4000</v>
      </c>
      <c r="AX30" s="135">
        <v>0</v>
      </c>
      <c r="AY30" s="135">
        <v>0</v>
      </c>
      <c r="AZ30" s="135">
        <v>0</v>
      </c>
      <c r="BA30" s="135">
        <v>0</v>
      </c>
      <c r="BB30" s="94"/>
      <c r="BC30" s="94"/>
      <c r="BG30" s="3"/>
    </row>
    <row r="31" spans="1:59" x14ac:dyDescent="0.2">
      <c r="A31" s="6"/>
      <c r="B31" s="6" t="s">
        <v>181</v>
      </c>
      <c r="C31" s="34">
        <f t="shared" si="3"/>
        <v>0</v>
      </c>
      <c r="D31" s="352">
        <v>0</v>
      </c>
      <c r="E31" s="353"/>
      <c r="F31" s="493"/>
      <c r="G31" s="493"/>
      <c r="H31" s="493"/>
      <c r="I31" s="112">
        <v>0</v>
      </c>
      <c r="J31" s="493">
        <v>0</v>
      </c>
      <c r="K31" s="493">
        <v>0</v>
      </c>
      <c r="L31" s="493">
        <v>388</v>
      </c>
      <c r="M31" s="112">
        <v>0</v>
      </c>
      <c r="N31" s="143">
        <v>0</v>
      </c>
      <c r="O31" s="143">
        <v>2700</v>
      </c>
      <c r="P31" s="143">
        <v>2956</v>
      </c>
      <c r="Q31" s="112">
        <v>0</v>
      </c>
      <c r="R31" s="143">
        <v>0</v>
      </c>
      <c r="S31" s="143">
        <v>1750</v>
      </c>
      <c r="T31" s="143">
        <v>0</v>
      </c>
      <c r="U31" s="112">
        <v>10990</v>
      </c>
      <c r="V31" s="143">
        <v>5000</v>
      </c>
      <c r="W31" s="143">
        <v>0</v>
      </c>
      <c r="X31" s="143">
        <v>0</v>
      </c>
      <c r="Y31" s="112">
        <v>0</v>
      </c>
      <c r="Z31" s="143">
        <v>0</v>
      </c>
      <c r="AA31" s="143">
        <v>0</v>
      </c>
      <c r="AB31" s="143">
        <v>0</v>
      </c>
      <c r="AC31" s="112">
        <v>0</v>
      </c>
      <c r="AD31" s="118">
        <v>0</v>
      </c>
      <c r="AE31" s="144"/>
      <c r="AF31" s="144"/>
      <c r="AG31" s="144"/>
      <c r="AH31" s="135"/>
      <c r="AI31" s="147"/>
      <c r="AJ31" s="147"/>
      <c r="AK31" s="147"/>
      <c r="AL31" s="47"/>
      <c r="AM31" s="493">
        <f t="shared" si="5"/>
        <v>388</v>
      </c>
      <c r="AN31" s="238">
        <f t="shared" si="6"/>
        <v>5656</v>
      </c>
      <c r="AO31" s="143">
        <f t="shared" si="7"/>
        <v>-5268</v>
      </c>
      <c r="AP31" s="27">
        <f t="shared" si="0"/>
        <v>-0.93140028288543142</v>
      </c>
      <c r="AQ31" s="44"/>
      <c r="AR31" s="504">
        <f t="shared" si="8"/>
        <v>388</v>
      </c>
      <c r="AS31" s="132">
        <f t="shared" si="9"/>
        <v>5656</v>
      </c>
      <c r="AT31" s="132">
        <f t="shared" si="10"/>
        <v>12740</v>
      </c>
      <c r="AU31" s="135">
        <v>5000</v>
      </c>
      <c r="AV31" s="135">
        <v>0</v>
      </c>
      <c r="AW31" s="415">
        <v>0</v>
      </c>
      <c r="AX31" s="135">
        <v>0</v>
      </c>
      <c r="AY31" s="135">
        <v>0</v>
      </c>
      <c r="AZ31" s="135"/>
      <c r="BA31" s="135"/>
      <c r="BB31" s="94"/>
      <c r="BC31" s="94"/>
      <c r="BG31" s="3"/>
    </row>
    <row r="32" spans="1:59" x14ac:dyDescent="0.2">
      <c r="A32" s="6"/>
      <c r="B32" s="44" t="s">
        <v>73</v>
      </c>
      <c r="C32" s="34">
        <f t="shared" si="3"/>
        <v>0</v>
      </c>
      <c r="D32" s="352">
        <v>0</v>
      </c>
      <c r="E32" s="353"/>
      <c r="F32" s="493"/>
      <c r="G32" s="493"/>
      <c r="H32" s="493"/>
      <c r="I32" s="112">
        <v>0</v>
      </c>
      <c r="J32" s="493">
        <v>0</v>
      </c>
      <c r="K32" s="493">
        <v>0</v>
      </c>
      <c r="L32" s="493">
        <v>0</v>
      </c>
      <c r="M32" s="112">
        <v>0</v>
      </c>
      <c r="N32" s="143">
        <v>0</v>
      </c>
      <c r="O32" s="143">
        <v>0</v>
      </c>
      <c r="P32" s="143">
        <v>0</v>
      </c>
      <c r="Q32" s="112">
        <v>0</v>
      </c>
      <c r="R32" s="143">
        <v>0</v>
      </c>
      <c r="S32" s="143">
        <v>0</v>
      </c>
      <c r="T32" s="143">
        <v>0</v>
      </c>
      <c r="U32" s="112">
        <v>0</v>
      </c>
      <c r="V32" s="143">
        <v>0</v>
      </c>
      <c r="W32" s="143">
        <v>0</v>
      </c>
      <c r="X32" s="143">
        <v>0</v>
      </c>
      <c r="Y32" s="112">
        <v>0</v>
      </c>
      <c r="Z32" s="143">
        <v>0</v>
      </c>
      <c r="AA32" s="143">
        <v>6700</v>
      </c>
      <c r="AB32" s="143">
        <v>0</v>
      </c>
      <c r="AC32" s="112">
        <v>0</v>
      </c>
      <c r="AD32" s="117">
        <v>4172</v>
      </c>
      <c r="AE32" s="142">
        <v>4226</v>
      </c>
      <c r="AF32" s="142">
        <v>4399</v>
      </c>
      <c r="AG32" s="143">
        <v>0</v>
      </c>
      <c r="AH32" s="119">
        <v>0</v>
      </c>
      <c r="AI32" s="112">
        <v>0</v>
      </c>
      <c r="AJ32" s="112">
        <v>0</v>
      </c>
      <c r="AK32" s="112">
        <v>0</v>
      </c>
      <c r="AL32" s="47"/>
      <c r="AM32" s="143">
        <f t="shared" si="5"/>
        <v>0</v>
      </c>
      <c r="AN32" s="143">
        <f t="shared" si="6"/>
        <v>0</v>
      </c>
      <c r="AO32" s="143">
        <v>0</v>
      </c>
      <c r="AP32" s="27">
        <v>0</v>
      </c>
      <c r="AQ32" s="44"/>
      <c r="AR32" s="414">
        <f t="shared" si="8"/>
        <v>0</v>
      </c>
      <c r="AS32" s="414">
        <f t="shared" si="9"/>
        <v>0</v>
      </c>
      <c r="AT32" s="119">
        <v>0</v>
      </c>
      <c r="AU32" s="119">
        <v>0</v>
      </c>
      <c r="AV32" s="119">
        <v>6700</v>
      </c>
      <c r="AW32" s="132">
        <v>12797</v>
      </c>
      <c r="AX32" s="135">
        <v>0</v>
      </c>
      <c r="AY32" s="37">
        <v>0</v>
      </c>
      <c r="AZ32" s="37">
        <v>0</v>
      </c>
      <c r="BA32" s="37">
        <v>0</v>
      </c>
      <c r="BB32" s="94"/>
      <c r="BC32" s="94"/>
      <c r="BG32" s="3"/>
    </row>
    <row r="33" spans="1:59" ht="12.75" customHeight="1" x14ac:dyDescent="0.2">
      <c r="A33" s="6"/>
      <c r="B33" s="90" t="s">
        <v>159</v>
      </c>
      <c r="C33" s="34">
        <f t="shared" si="3"/>
        <v>0</v>
      </c>
      <c r="D33" s="352">
        <v>0</v>
      </c>
      <c r="E33" s="353"/>
      <c r="F33" s="493"/>
      <c r="G33" s="493"/>
      <c r="H33" s="493"/>
      <c r="I33" s="112">
        <v>0</v>
      </c>
      <c r="J33" s="493">
        <v>0</v>
      </c>
      <c r="K33" s="493">
        <v>0</v>
      </c>
      <c r="L33" s="493">
        <v>0</v>
      </c>
      <c r="M33" s="112">
        <v>0</v>
      </c>
      <c r="N33" s="143">
        <v>0</v>
      </c>
      <c r="O33" s="143">
        <v>0</v>
      </c>
      <c r="P33" s="143">
        <v>0</v>
      </c>
      <c r="Q33" s="112">
        <v>0</v>
      </c>
      <c r="R33" s="143">
        <v>0</v>
      </c>
      <c r="S33" s="143">
        <v>0</v>
      </c>
      <c r="T33" s="143">
        <v>0</v>
      </c>
      <c r="U33" s="112">
        <v>0</v>
      </c>
      <c r="V33" s="143">
        <v>0</v>
      </c>
      <c r="W33" s="143">
        <v>0</v>
      </c>
      <c r="X33" s="143">
        <v>0</v>
      </c>
      <c r="Y33" s="112">
        <v>0</v>
      </c>
      <c r="Z33" s="143">
        <v>0</v>
      </c>
      <c r="AA33" s="143">
        <v>5347</v>
      </c>
      <c r="AB33" s="143">
        <v>0</v>
      </c>
      <c r="AC33" s="112">
        <v>0</v>
      </c>
      <c r="AD33" s="117">
        <v>54200</v>
      </c>
      <c r="AE33" s="144">
        <v>0</v>
      </c>
      <c r="AF33" s="144">
        <v>0</v>
      </c>
      <c r="AG33" s="144">
        <v>0</v>
      </c>
      <c r="AH33" s="135">
        <v>0</v>
      </c>
      <c r="AI33" s="147">
        <v>0</v>
      </c>
      <c r="AJ33" s="147">
        <v>0</v>
      </c>
      <c r="AK33" s="147">
        <v>0</v>
      </c>
      <c r="AL33" s="47"/>
      <c r="AM33" s="143">
        <f t="shared" si="5"/>
        <v>0</v>
      </c>
      <c r="AN33" s="143">
        <f t="shared" si="6"/>
        <v>0</v>
      </c>
      <c r="AO33" s="143">
        <v>0</v>
      </c>
      <c r="AP33" s="27">
        <v>0</v>
      </c>
      <c r="AQ33" s="44"/>
      <c r="AR33" s="415">
        <f t="shared" si="8"/>
        <v>0</v>
      </c>
      <c r="AS33" s="415">
        <f t="shared" si="9"/>
        <v>0</v>
      </c>
      <c r="AT33" s="135">
        <v>0</v>
      </c>
      <c r="AU33" s="135">
        <v>0</v>
      </c>
      <c r="AV33" s="135">
        <v>5347</v>
      </c>
      <c r="AW33" s="132">
        <v>54200</v>
      </c>
      <c r="AX33" s="135">
        <v>0</v>
      </c>
      <c r="AY33" s="37">
        <v>0</v>
      </c>
      <c r="AZ33" s="37">
        <v>0</v>
      </c>
      <c r="BA33" s="37">
        <v>0</v>
      </c>
      <c r="BB33" s="94"/>
      <c r="BC33" s="94"/>
      <c r="BG33" s="3"/>
    </row>
    <row r="34" spans="1:59" ht="12.75" customHeight="1" x14ac:dyDescent="0.2">
      <c r="A34" s="6"/>
      <c r="B34" s="6" t="s">
        <v>158</v>
      </c>
      <c r="C34" s="34">
        <f t="shared" si="3"/>
        <v>0</v>
      </c>
      <c r="D34" s="352">
        <v>0</v>
      </c>
      <c r="E34" s="353"/>
      <c r="F34" s="493"/>
      <c r="G34" s="493"/>
      <c r="H34" s="493"/>
      <c r="I34" s="112">
        <v>0</v>
      </c>
      <c r="J34" s="493">
        <v>0</v>
      </c>
      <c r="K34" s="493">
        <v>0</v>
      </c>
      <c r="L34" s="493">
        <v>0</v>
      </c>
      <c r="M34" s="112">
        <v>0</v>
      </c>
      <c r="N34" s="143">
        <v>0</v>
      </c>
      <c r="O34" s="143">
        <v>0</v>
      </c>
      <c r="P34" s="143">
        <v>0</v>
      </c>
      <c r="Q34" s="112">
        <v>0</v>
      </c>
      <c r="R34" s="143">
        <v>0</v>
      </c>
      <c r="S34" s="143">
        <v>0</v>
      </c>
      <c r="T34" s="143">
        <v>0</v>
      </c>
      <c r="U34" s="112">
        <v>0</v>
      </c>
      <c r="V34" s="143">
        <v>0</v>
      </c>
      <c r="W34" s="143">
        <v>0</v>
      </c>
      <c r="X34" s="143">
        <v>0</v>
      </c>
      <c r="Y34" s="112">
        <v>0</v>
      </c>
      <c r="Z34" s="143">
        <v>0</v>
      </c>
      <c r="AA34" s="143">
        <v>3958</v>
      </c>
      <c r="AB34" s="143">
        <v>0</v>
      </c>
      <c r="AC34" s="112">
        <v>0</v>
      </c>
      <c r="AD34" s="118">
        <v>0</v>
      </c>
      <c r="AE34" s="144">
        <v>0</v>
      </c>
      <c r="AF34" s="144">
        <v>0</v>
      </c>
      <c r="AG34" s="144">
        <v>0</v>
      </c>
      <c r="AH34" s="135">
        <v>0</v>
      </c>
      <c r="AI34" s="147">
        <v>0</v>
      </c>
      <c r="AJ34" s="147"/>
      <c r="AK34" s="147"/>
      <c r="AL34" s="47"/>
      <c r="AM34" s="143">
        <f t="shared" si="5"/>
        <v>0</v>
      </c>
      <c r="AN34" s="143">
        <f t="shared" si="6"/>
        <v>0</v>
      </c>
      <c r="AO34" s="143">
        <v>0</v>
      </c>
      <c r="AP34" s="27">
        <v>0</v>
      </c>
      <c r="AQ34" s="44"/>
      <c r="AR34" s="415">
        <f t="shared" si="8"/>
        <v>0</v>
      </c>
      <c r="AS34" s="415">
        <f t="shared" si="9"/>
        <v>0</v>
      </c>
      <c r="AT34" s="135">
        <v>0</v>
      </c>
      <c r="AU34" s="135">
        <v>0</v>
      </c>
      <c r="AV34" s="135">
        <v>3958</v>
      </c>
      <c r="AW34" s="415">
        <v>0</v>
      </c>
      <c r="AX34" s="135">
        <v>0</v>
      </c>
      <c r="AY34" s="135">
        <v>0</v>
      </c>
      <c r="AZ34" s="135">
        <v>0</v>
      </c>
      <c r="BA34" s="135">
        <v>0</v>
      </c>
      <c r="BB34" s="94"/>
      <c r="BC34" s="94"/>
      <c r="BG34" s="3"/>
    </row>
    <row r="35" spans="1:59" ht="12.75" customHeight="1" x14ac:dyDescent="0.2">
      <c r="A35" s="7"/>
      <c r="B35" s="6"/>
      <c r="C35" s="113">
        <f t="shared" si="3"/>
        <v>-14408</v>
      </c>
      <c r="D35" s="114">
        <f>IF(OR((C35/M35)&gt;3,(C35/M35)&lt;-3),"n.m.",(C35/M35))</f>
        <v>-0.18081421615380755</v>
      </c>
      <c r="E35" s="353"/>
      <c r="F35" s="150">
        <f t="shared" ref="F35:M35" si="11">SUM(F20:F34)</f>
        <v>0</v>
      </c>
      <c r="G35" s="150">
        <f t="shared" si="11"/>
        <v>0</v>
      </c>
      <c r="H35" s="150">
        <f t="shared" si="11"/>
        <v>0</v>
      </c>
      <c r="I35" s="151">
        <f t="shared" si="11"/>
        <v>65276</v>
      </c>
      <c r="J35" s="150">
        <f t="shared" si="11"/>
        <v>89393</v>
      </c>
      <c r="K35" s="150">
        <f t="shared" si="11"/>
        <v>97502</v>
      </c>
      <c r="L35" s="150">
        <f t="shared" si="11"/>
        <v>95973</v>
      </c>
      <c r="M35" s="151">
        <f t="shared" si="11"/>
        <v>79684</v>
      </c>
      <c r="N35" s="150">
        <f t="shared" ref="N35:U35" si="12">SUM(N20:N34)</f>
        <v>121370</v>
      </c>
      <c r="O35" s="150">
        <f t="shared" si="12"/>
        <v>102275</v>
      </c>
      <c r="P35" s="150">
        <f t="shared" si="12"/>
        <v>91033</v>
      </c>
      <c r="Q35" s="151">
        <f t="shared" si="12"/>
        <v>104014</v>
      </c>
      <c r="R35" s="150">
        <f t="shared" si="12"/>
        <v>139232</v>
      </c>
      <c r="S35" s="150">
        <f t="shared" si="12"/>
        <v>144631</v>
      </c>
      <c r="T35" s="150">
        <f t="shared" si="12"/>
        <v>97318</v>
      </c>
      <c r="U35" s="151">
        <f t="shared" si="12"/>
        <v>105470</v>
      </c>
      <c r="V35" s="150">
        <v>97777</v>
      </c>
      <c r="W35" s="150">
        <v>106520</v>
      </c>
      <c r="X35" s="150">
        <v>75672</v>
      </c>
      <c r="Y35" s="151">
        <v>78767</v>
      </c>
      <c r="Z35" s="150">
        <v>66023</v>
      </c>
      <c r="AA35" s="150">
        <v>90683</v>
      </c>
      <c r="AB35" s="150">
        <v>76728</v>
      </c>
      <c r="AC35" s="151">
        <v>96729</v>
      </c>
      <c r="AD35" s="120">
        <v>149949</v>
      </c>
      <c r="AE35" s="150">
        <v>109133</v>
      </c>
      <c r="AF35" s="150">
        <v>99825</v>
      </c>
      <c r="AG35" s="150">
        <v>125313</v>
      </c>
      <c r="AH35" s="115">
        <v>118739</v>
      </c>
      <c r="AI35" s="151">
        <v>106957</v>
      </c>
      <c r="AJ35" s="151">
        <v>92702</v>
      </c>
      <c r="AK35" s="151">
        <v>112876</v>
      </c>
      <c r="AL35" s="47"/>
      <c r="AM35" s="150">
        <f>SUM(AM20:AM34)</f>
        <v>273159</v>
      </c>
      <c r="AN35" s="150">
        <f>SUM(AN20:AN34)</f>
        <v>297322</v>
      </c>
      <c r="AO35" s="247">
        <f>AR35-AS35</f>
        <v>-56140</v>
      </c>
      <c r="AP35" s="317">
        <f>IF(OR((AO35/AS35)&gt;3,(AO35/AS35)&lt;-3),"n.m.",(AO35/AS35))</f>
        <v>-0.13408424331011817</v>
      </c>
      <c r="AQ35" s="47"/>
      <c r="AR35" s="151">
        <f>SUM(AR20:AR34)</f>
        <v>362552</v>
      </c>
      <c r="AS35" s="151">
        <f>SUM(AS20:AS34)</f>
        <v>418692</v>
      </c>
      <c r="AT35" s="151">
        <f>SUM(AT20:AT34)</f>
        <v>486651</v>
      </c>
      <c r="AU35" s="178">
        <v>358736</v>
      </c>
      <c r="AV35" s="133">
        <v>330163</v>
      </c>
      <c r="AW35" s="133">
        <v>484220</v>
      </c>
      <c r="AX35" s="133">
        <v>431274</v>
      </c>
      <c r="AY35" s="222">
        <v>363542</v>
      </c>
      <c r="AZ35" s="222">
        <v>274358</v>
      </c>
      <c r="BA35" s="222">
        <v>271025</v>
      </c>
      <c r="BB35" s="94"/>
      <c r="BC35" s="94"/>
      <c r="BG35" s="3"/>
    </row>
    <row r="36" spans="1:59" ht="12.75" customHeight="1" thickBot="1" x14ac:dyDescent="0.25">
      <c r="A36" s="2491" t="s">
        <v>341</v>
      </c>
      <c r="B36" s="2492"/>
      <c r="C36" s="271" t="e">
        <f t="shared" si="3"/>
        <v>#REF!</v>
      </c>
      <c r="D36" s="123" t="e">
        <f>IF(OR((C36/M36)&gt;3,(C36/M36)&lt;-3),"n.m.",(C36/M36))</f>
        <v>#REF!</v>
      </c>
      <c r="E36" s="353"/>
      <c r="F36" s="152" t="e">
        <f t="shared" ref="F36:L36" si="13">+F16-F35</f>
        <v>#REF!</v>
      </c>
      <c r="G36" s="152" t="e">
        <f t="shared" si="13"/>
        <v>#REF!</v>
      </c>
      <c r="H36" s="152" t="e">
        <f t="shared" si="13"/>
        <v>#REF!</v>
      </c>
      <c r="I36" s="153" t="e">
        <f t="shared" si="13"/>
        <v>#REF!</v>
      </c>
      <c r="J36" s="152" t="e">
        <f t="shared" si="13"/>
        <v>#REF!</v>
      </c>
      <c r="K36" s="152" t="e">
        <f t="shared" si="13"/>
        <v>#REF!</v>
      </c>
      <c r="L36" s="152" t="e">
        <f t="shared" si="13"/>
        <v>#REF!</v>
      </c>
      <c r="M36" s="153" t="e">
        <f t="shared" ref="M36:U36" si="14">M16-M35</f>
        <v>#REF!</v>
      </c>
      <c r="N36" s="152" t="e">
        <f t="shared" si="14"/>
        <v>#REF!</v>
      </c>
      <c r="O36" s="152" t="e">
        <f t="shared" si="14"/>
        <v>#REF!</v>
      </c>
      <c r="P36" s="152" t="e">
        <f t="shared" si="14"/>
        <v>#REF!</v>
      </c>
      <c r="Q36" s="153" t="e">
        <f t="shared" si="14"/>
        <v>#REF!</v>
      </c>
      <c r="R36" s="152" t="e">
        <f t="shared" si="14"/>
        <v>#REF!</v>
      </c>
      <c r="S36" s="152" t="e">
        <f t="shared" si="14"/>
        <v>#REF!</v>
      </c>
      <c r="T36" s="152" t="e">
        <f t="shared" si="14"/>
        <v>#REF!</v>
      </c>
      <c r="U36" s="153">
        <f t="shared" si="14"/>
        <v>3448</v>
      </c>
      <c r="V36" s="152">
        <v>245</v>
      </c>
      <c r="W36" s="152">
        <v>17106</v>
      </c>
      <c r="X36" s="152">
        <v>3518</v>
      </c>
      <c r="Y36" s="153">
        <v>9167</v>
      </c>
      <c r="Z36" s="152">
        <v>6761</v>
      </c>
      <c r="AA36" s="152">
        <v>-32776</v>
      </c>
      <c r="AB36" s="152">
        <v>4047</v>
      </c>
      <c r="AC36" s="153">
        <v>12169</v>
      </c>
      <c r="AD36" s="153">
        <v>-45512</v>
      </c>
      <c r="AE36" s="252"/>
      <c r="AF36" s="252"/>
      <c r="AG36" s="150"/>
      <c r="AH36" s="150"/>
      <c r="AI36" s="150"/>
      <c r="AJ36" s="150"/>
      <c r="AK36" s="150"/>
      <c r="AL36" s="47"/>
      <c r="AM36" s="152" t="e">
        <f>AM16-AM35</f>
        <v>#REF!</v>
      </c>
      <c r="AN36" s="152" t="e">
        <f>AN16-AN35</f>
        <v>#REF!</v>
      </c>
      <c r="AO36" s="323" t="e">
        <f>AR36-AS36</f>
        <v>#REF!</v>
      </c>
      <c r="AP36" s="123" t="e">
        <f>IF(OR((AO36/AS36)&gt;3,(AO36/AS36)&lt;-3),"n.m.",(AO36/AS36))</f>
        <v>#REF!</v>
      </c>
      <c r="AQ36" s="47"/>
      <c r="AR36" s="153" t="e">
        <f>AR16-AR35</f>
        <v>#REF!</v>
      </c>
      <c r="AS36" s="153" t="e">
        <f>AS16-AS35</f>
        <v>#REF!</v>
      </c>
      <c r="AT36" s="153">
        <f>AT16-AT35</f>
        <v>111905</v>
      </c>
      <c r="AU36" s="139">
        <v>30036</v>
      </c>
      <c r="AV36" s="139">
        <v>-9799</v>
      </c>
      <c r="AW36" s="139">
        <v>24846</v>
      </c>
      <c r="AX36" s="182">
        <v>99218</v>
      </c>
      <c r="AY36" s="223">
        <f>AY16-AY35</f>
        <v>74012</v>
      </c>
      <c r="AZ36" s="223">
        <f>AZ16-AZ35</f>
        <v>42330</v>
      </c>
      <c r="BA36" s="227"/>
      <c r="BB36" s="94"/>
      <c r="BC36" s="94"/>
      <c r="BG36" s="3"/>
    </row>
    <row r="37" spans="1:59" ht="12.75" customHeight="1" thickTop="1" x14ac:dyDescent="0.2">
      <c r="A37" s="7"/>
      <c r="B37" s="278"/>
      <c r="C37" s="28"/>
      <c r="D37" s="27"/>
      <c r="E37" s="27"/>
      <c r="F37" s="142"/>
      <c r="G37" s="142"/>
      <c r="H37" s="142"/>
      <c r="I37" s="146"/>
      <c r="J37" s="142"/>
      <c r="K37" s="142"/>
      <c r="L37" s="142"/>
      <c r="M37" s="146"/>
      <c r="N37" s="142"/>
      <c r="O37" s="142"/>
      <c r="P37" s="142"/>
      <c r="Q37" s="146"/>
      <c r="R37" s="142"/>
      <c r="S37" s="142"/>
      <c r="T37" s="142"/>
      <c r="U37" s="146"/>
      <c r="V37" s="142"/>
      <c r="W37" s="142"/>
      <c r="X37" s="142"/>
      <c r="Y37" s="146"/>
      <c r="Z37" s="142"/>
      <c r="AA37" s="142"/>
      <c r="AB37" s="142"/>
      <c r="AC37" s="146"/>
      <c r="AD37" s="146"/>
      <c r="AE37" s="252"/>
      <c r="AF37" s="252"/>
      <c r="AG37" s="150"/>
      <c r="AH37" s="150"/>
      <c r="AI37" s="150"/>
      <c r="AJ37" s="150"/>
      <c r="AK37" s="150"/>
      <c r="AL37" s="110"/>
      <c r="AM37" s="94"/>
      <c r="AN37" s="94"/>
      <c r="AO37" s="28"/>
      <c r="AP37" s="27"/>
      <c r="AQ37" s="110"/>
      <c r="AR37" s="557"/>
      <c r="AS37" s="557"/>
      <c r="AT37" s="557"/>
      <c r="AU37" s="557"/>
      <c r="AV37" s="557"/>
      <c r="AW37" s="167"/>
      <c r="AX37" s="167"/>
      <c r="AY37" s="26"/>
      <c r="AZ37" s="26"/>
      <c r="BA37" s="102"/>
      <c r="BB37" s="94"/>
      <c r="BC37" s="94"/>
      <c r="BG37" s="3"/>
    </row>
    <row r="38" spans="1:59" s="485" customFormat="1" ht="12.75" hidden="1" customHeight="1" outlineLevel="1" x14ac:dyDescent="0.2">
      <c r="A38" s="7"/>
      <c r="B38" s="278" t="s">
        <v>342</v>
      </c>
      <c r="C38" s="464">
        <f>I38-M38</f>
        <v>-825</v>
      </c>
      <c r="D38" s="503" t="s">
        <v>42</v>
      </c>
      <c r="E38" s="503"/>
      <c r="F38" s="142"/>
      <c r="G38" s="142"/>
      <c r="H38" s="142"/>
      <c r="I38" s="146">
        <f>-275*3</f>
        <v>-825</v>
      </c>
      <c r="J38" s="530">
        <v>0</v>
      </c>
      <c r="K38" s="530">
        <v>0</v>
      </c>
      <c r="L38" s="530">
        <v>0</v>
      </c>
      <c r="M38" s="547">
        <v>0</v>
      </c>
      <c r="N38" s="530">
        <v>0</v>
      </c>
      <c r="O38" s="530">
        <v>0</v>
      </c>
      <c r="P38" s="530">
        <v>0</v>
      </c>
      <c r="Q38" s="547">
        <v>0</v>
      </c>
      <c r="R38" s="142"/>
      <c r="S38" s="142"/>
      <c r="T38" s="142"/>
      <c r="U38" s="146"/>
      <c r="V38" s="142"/>
      <c r="W38" s="142"/>
      <c r="X38" s="142"/>
      <c r="Y38" s="146"/>
      <c r="Z38" s="142"/>
      <c r="AA38" s="142"/>
      <c r="AB38" s="142"/>
      <c r="AC38" s="146"/>
      <c r="AD38" s="146"/>
      <c r="AE38" s="252"/>
      <c r="AF38" s="252"/>
      <c r="AG38" s="150"/>
      <c r="AH38" s="150"/>
      <c r="AI38" s="150"/>
      <c r="AJ38" s="150"/>
      <c r="AK38" s="150"/>
      <c r="AL38" s="110"/>
      <c r="AM38" s="488"/>
      <c r="AN38" s="488"/>
      <c r="AO38" s="512"/>
      <c r="AP38" s="503"/>
      <c r="AQ38" s="110"/>
      <c r="AR38" s="554">
        <v>0</v>
      </c>
      <c r="AS38" s="554">
        <v>0</v>
      </c>
      <c r="AT38" s="554">
        <v>0</v>
      </c>
      <c r="AU38" s="554">
        <v>0</v>
      </c>
      <c r="AV38" s="554">
        <v>0</v>
      </c>
      <c r="AW38" s="506"/>
      <c r="AX38" s="506"/>
      <c r="AY38" s="26"/>
      <c r="AZ38" s="26"/>
      <c r="BA38" s="102"/>
      <c r="BB38" s="488"/>
      <c r="BC38" s="488"/>
      <c r="BG38" s="486"/>
    </row>
    <row r="39" spans="1:59" ht="12.75" hidden="1" customHeight="1" outlineLevel="1" x14ac:dyDescent="0.2">
      <c r="A39" s="7"/>
      <c r="B39" s="110" t="s">
        <v>343</v>
      </c>
      <c r="C39" s="270">
        <f>I39-M39</f>
        <v>-831</v>
      </c>
      <c r="D39" s="95" t="s">
        <v>42</v>
      </c>
      <c r="E39" s="502"/>
      <c r="F39" s="142"/>
      <c r="G39" s="142"/>
      <c r="H39" s="142"/>
      <c r="I39" s="149">
        <f>-250*3-81</f>
        <v>-831</v>
      </c>
      <c r="J39" s="569">
        <v>0</v>
      </c>
      <c r="K39" s="569">
        <v>0</v>
      </c>
      <c r="L39" s="569">
        <v>0</v>
      </c>
      <c r="M39" s="570">
        <v>0</v>
      </c>
      <c r="N39" s="569">
        <v>0</v>
      </c>
      <c r="O39" s="569">
        <v>0</v>
      </c>
      <c r="P39" s="569">
        <v>0</v>
      </c>
      <c r="Q39" s="570">
        <v>0</v>
      </c>
      <c r="R39" s="142"/>
      <c r="S39" s="142"/>
      <c r="T39" s="142"/>
      <c r="U39" s="146"/>
      <c r="V39" s="142"/>
      <c r="W39" s="142"/>
      <c r="X39" s="142"/>
      <c r="Y39" s="146"/>
      <c r="Z39" s="142"/>
      <c r="AA39" s="142"/>
      <c r="AB39" s="142"/>
      <c r="AC39" s="146"/>
      <c r="AD39" s="146"/>
      <c r="AE39" s="252"/>
      <c r="AF39" s="252"/>
      <c r="AG39" s="150"/>
      <c r="AH39" s="150"/>
      <c r="AI39" s="150"/>
      <c r="AJ39" s="150"/>
      <c r="AK39" s="150"/>
      <c r="AL39" s="110"/>
      <c r="AM39" s="488"/>
      <c r="AN39" s="488"/>
      <c r="AO39" s="512"/>
      <c r="AP39" s="503"/>
      <c r="AQ39" s="110"/>
      <c r="AR39" s="571">
        <v>0</v>
      </c>
      <c r="AS39" s="571">
        <v>0</v>
      </c>
      <c r="AT39" s="571">
        <v>0</v>
      </c>
      <c r="AU39" s="571">
        <v>0</v>
      </c>
      <c r="AV39" s="571">
        <v>0</v>
      </c>
      <c r="AW39" s="167">
        <v>9904</v>
      </c>
      <c r="AX39" s="167">
        <v>35059</v>
      </c>
      <c r="AY39" s="26">
        <v>24207</v>
      </c>
      <c r="AZ39" s="26">
        <v>12780</v>
      </c>
      <c r="BA39" s="102"/>
      <c r="BB39" s="94"/>
      <c r="BC39" s="94"/>
      <c r="BG39" s="3"/>
    </row>
    <row r="40" spans="1:59" s="485" customFormat="1" ht="12.75" customHeight="1" collapsed="1" x14ac:dyDescent="0.2">
      <c r="A40" s="7"/>
      <c r="B40" s="6" t="s">
        <v>347</v>
      </c>
      <c r="C40" s="171">
        <f>I40-M40</f>
        <v>-1656</v>
      </c>
      <c r="D40" s="503" t="s">
        <v>42</v>
      </c>
      <c r="E40" s="503"/>
      <c r="F40" s="142"/>
      <c r="G40" s="142"/>
      <c r="H40" s="142"/>
      <c r="I40" s="146">
        <f>+I38+I39</f>
        <v>-1656</v>
      </c>
      <c r="J40" s="530">
        <v>0</v>
      </c>
      <c r="K40" s="530">
        <v>0</v>
      </c>
      <c r="L40" s="530">
        <v>0</v>
      </c>
      <c r="M40" s="547">
        <v>0</v>
      </c>
      <c r="N40" s="530">
        <v>0</v>
      </c>
      <c r="O40" s="530">
        <v>0</v>
      </c>
      <c r="P40" s="530">
        <v>0</v>
      </c>
      <c r="Q40" s="547">
        <v>0</v>
      </c>
      <c r="R40" s="142"/>
      <c r="S40" s="142"/>
      <c r="T40" s="142"/>
      <c r="U40" s="146"/>
      <c r="V40" s="142"/>
      <c r="W40" s="142"/>
      <c r="X40" s="142"/>
      <c r="Y40" s="146"/>
      <c r="Z40" s="142"/>
      <c r="AA40" s="142"/>
      <c r="AB40" s="142"/>
      <c r="AC40" s="146"/>
      <c r="AD40" s="146"/>
      <c r="AE40" s="252"/>
      <c r="AF40" s="252"/>
      <c r="AG40" s="150"/>
      <c r="AH40" s="150"/>
      <c r="AI40" s="150"/>
      <c r="AJ40" s="150"/>
      <c r="AK40" s="150"/>
      <c r="AL40" s="110"/>
      <c r="AM40" s="488"/>
      <c r="AN40" s="488"/>
      <c r="AO40" s="512"/>
      <c r="AP40" s="503"/>
      <c r="AQ40" s="110"/>
      <c r="AR40" s="554">
        <v>0</v>
      </c>
      <c r="AS40" s="554">
        <v>0</v>
      </c>
      <c r="AT40" s="554">
        <v>0</v>
      </c>
      <c r="AU40" s="554">
        <v>0</v>
      </c>
      <c r="AV40" s="554">
        <v>0</v>
      </c>
      <c r="AW40" s="506"/>
      <c r="AX40" s="506"/>
      <c r="AY40" s="512"/>
      <c r="AZ40" s="26"/>
      <c r="BA40" s="102"/>
      <c r="BB40" s="488"/>
      <c r="BC40" s="488"/>
      <c r="BG40" s="486"/>
    </row>
    <row r="41" spans="1:59" ht="12.75" customHeight="1" x14ac:dyDescent="0.2">
      <c r="A41" s="7"/>
      <c r="B41" s="6"/>
      <c r="C41" s="34"/>
      <c r="D41" s="27"/>
      <c r="E41" s="502"/>
      <c r="F41" s="142"/>
      <c r="G41" s="142"/>
      <c r="H41" s="142"/>
      <c r="I41" s="146"/>
      <c r="J41" s="142"/>
      <c r="K41" s="142"/>
      <c r="L41" s="142"/>
      <c r="M41" s="146"/>
      <c r="N41" s="142"/>
      <c r="O41" s="142"/>
      <c r="P41" s="142"/>
      <c r="Q41" s="146"/>
      <c r="R41" s="142"/>
      <c r="S41" s="142"/>
      <c r="T41" s="142"/>
      <c r="U41" s="146"/>
      <c r="V41" s="142"/>
      <c r="W41" s="142"/>
      <c r="X41" s="142"/>
      <c r="Y41" s="146"/>
      <c r="Z41" s="142"/>
      <c r="AA41" s="142"/>
      <c r="AB41" s="142"/>
      <c r="AC41" s="146"/>
      <c r="AD41" s="146"/>
      <c r="AE41" s="252"/>
      <c r="AF41" s="252"/>
      <c r="AG41" s="150"/>
      <c r="AH41" s="150"/>
      <c r="AI41" s="150"/>
      <c r="AJ41" s="150"/>
      <c r="AK41" s="150"/>
      <c r="AL41" s="94"/>
      <c r="AM41" s="94"/>
      <c r="AN41" s="94"/>
      <c r="AO41" s="28"/>
      <c r="AP41" s="35"/>
      <c r="AQ41" s="47"/>
      <c r="AR41" s="137"/>
      <c r="AS41" s="137"/>
      <c r="AT41" s="137"/>
      <c r="AU41" s="137"/>
      <c r="AV41" s="137"/>
      <c r="AW41" s="167"/>
      <c r="AX41" s="167"/>
      <c r="AY41" s="28"/>
      <c r="AZ41" s="37"/>
      <c r="BA41" s="227"/>
      <c r="BB41" s="94"/>
      <c r="BC41" s="94"/>
      <c r="BG41" s="3"/>
    </row>
    <row r="42" spans="1:59" s="53" customFormat="1" ht="12.75" customHeight="1" thickBot="1" x14ac:dyDescent="0.25">
      <c r="A42" s="2491" t="s">
        <v>74</v>
      </c>
      <c r="B42" s="2492"/>
      <c r="C42" s="271" t="e">
        <f>I42-M42</f>
        <v>#REF!</v>
      </c>
      <c r="D42" s="123" t="e">
        <f>IF(OR((C42/M42)&gt;3,(C42/M42)&lt;-3),"n.m.",(C42/M42))</f>
        <v>#REF!</v>
      </c>
      <c r="E42" s="502"/>
      <c r="F42" s="152"/>
      <c r="G42" s="152"/>
      <c r="H42" s="152"/>
      <c r="I42" s="153" t="e">
        <f>+I36-I38-I39</f>
        <v>#REF!</v>
      </c>
      <c r="J42" s="152" t="e">
        <f t="shared" ref="J42:AK42" si="15">+J36-J38-J39</f>
        <v>#REF!</v>
      </c>
      <c r="K42" s="152" t="e">
        <f t="shared" si="15"/>
        <v>#REF!</v>
      </c>
      <c r="L42" s="152" t="e">
        <f t="shared" si="15"/>
        <v>#REF!</v>
      </c>
      <c r="M42" s="153" t="e">
        <f t="shared" si="15"/>
        <v>#REF!</v>
      </c>
      <c r="N42" s="152" t="e">
        <f t="shared" si="15"/>
        <v>#REF!</v>
      </c>
      <c r="O42" s="152" t="e">
        <f t="shared" si="15"/>
        <v>#REF!</v>
      </c>
      <c r="P42" s="152" t="e">
        <f t="shared" si="15"/>
        <v>#REF!</v>
      </c>
      <c r="Q42" s="153" t="e">
        <f t="shared" si="15"/>
        <v>#REF!</v>
      </c>
      <c r="R42" s="152" t="e">
        <f t="shared" si="15"/>
        <v>#REF!</v>
      </c>
      <c r="S42" s="152" t="e">
        <f t="shared" si="15"/>
        <v>#REF!</v>
      </c>
      <c r="T42" s="152" t="e">
        <f t="shared" si="15"/>
        <v>#REF!</v>
      </c>
      <c r="U42" s="153">
        <f t="shared" si="15"/>
        <v>3448</v>
      </c>
      <c r="V42" s="152">
        <f t="shared" si="15"/>
        <v>245</v>
      </c>
      <c r="W42" s="152">
        <f t="shared" si="15"/>
        <v>17106</v>
      </c>
      <c r="X42" s="152">
        <f t="shared" si="15"/>
        <v>3518</v>
      </c>
      <c r="Y42" s="153">
        <f t="shared" si="15"/>
        <v>9167</v>
      </c>
      <c r="Z42" s="152">
        <f t="shared" si="15"/>
        <v>6761</v>
      </c>
      <c r="AA42" s="152">
        <f t="shared" si="15"/>
        <v>-32776</v>
      </c>
      <c r="AB42" s="152">
        <f t="shared" si="15"/>
        <v>4047</v>
      </c>
      <c r="AC42" s="153">
        <f t="shared" si="15"/>
        <v>12169</v>
      </c>
      <c r="AD42" s="152">
        <f t="shared" si="15"/>
        <v>-45512</v>
      </c>
      <c r="AE42" s="153">
        <f t="shared" si="15"/>
        <v>0</v>
      </c>
      <c r="AF42" s="153">
        <f t="shared" si="15"/>
        <v>0</v>
      </c>
      <c r="AG42" s="150">
        <f t="shared" si="15"/>
        <v>0</v>
      </c>
      <c r="AH42" s="150">
        <f t="shared" si="15"/>
        <v>0</v>
      </c>
      <c r="AI42" s="150">
        <f t="shared" si="15"/>
        <v>0</v>
      </c>
      <c r="AJ42" s="150">
        <f t="shared" si="15"/>
        <v>0</v>
      </c>
      <c r="AK42" s="150">
        <f t="shared" si="15"/>
        <v>0</v>
      </c>
      <c r="AL42" s="94"/>
      <c r="AM42" s="94"/>
      <c r="AN42" s="94"/>
      <c r="AO42" s="323">
        <v>19045</v>
      </c>
      <c r="AP42" s="123" t="e">
        <v>#DIV/0!</v>
      </c>
      <c r="AQ42" s="47"/>
      <c r="AR42" s="139" t="e">
        <f>+AR36-AR38-AR39</f>
        <v>#REF!</v>
      </c>
      <c r="AS42" s="139" t="e">
        <f>+AS36-AS38-AS39</f>
        <v>#REF!</v>
      </c>
      <c r="AT42" s="139">
        <f>+AT36-AT38-AT39</f>
        <v>111905</v>
      </c>
      <c r="AU42" s="139">
        <f>+AU36-AU38-AU39</f>
        <v>30036</v>
      </c>
      <c r="AV42" s="139">
        <f>+AV36-AV38-AV39</f>
        <v>-9799</v>
      </c>
      <c r="AW42" s="182">
        <v>14942</v>
      </c>
      <c r="AX42" s="182">
        <v>64159</v>
      </c>
      <c r="AY42" s="323">
        <f>AY36-AY39</f>
        <v>49805</v>
      </c>
      <c r="AZ42" s="223">
        <f>AZ36-AZ39</f>
        <v>29550</v>
      </c>
      <c r="BA42" s="234">
        <v>46643</v>
      </c>
      <c r="BB42" s="94"/>
      <c r="BC42" s="254"/>
      <c r="BG42" s="140"/>
    </row>
    <row r="43" spans="1:59" ht="12.75" customHeight="1" thickTop="1" x14ac:dyDescent="0.2">
      <c r="A43" s="90"/>
      <c r="B43" s="90"/>
      <c r="C43" s="28"/>
      <c r="D43" s="35"/>
      <c r="E43" s="35"/>
      <c r="F43" s="513"/>
      <c r="G43" s="513"/>
      <c r="H43" s="513"/>
      <c r="I43" s="488"/>
      <c r="J43" s="513"/>
      <c r="K43" s="513"/>
      <c r="L43" s="513"/>
      <c r="M43" s="488"/>
      <c r="N43" s="35"/>
      <c r="O43" s="35"/>
      <c r="P43" s="35"/>
      <c r="Q43" s="94"/>
      <c r="R43" s="35"/>
      <c r="S43" s="35"/>
      <c r="T43" s="35"/>
      <c r="U43" s="94"/>
      <c r="V43" s="35"/>
      <c r="W43" s="35"/>
      <c r="X43" s="35"/>
      <c r="Y43" s="94"/>
      <c r="Z43" s="35"/>
      <c r="AA43" s="35"/>
      <c r="AB43" s="35"/>
      <c r="AC43" s="94"/>
      <c r="AD43" s="44"/>
      <c r="AE43" s="44"/>
      <c r="AF43" s="44"/>
      <c r="AG43" s="44"/>
      <c r="AH43" s="124"/>
      <c r="AI43" s="124"/>
      <c r="AJ43" s="124"/>
      <c r="AK43" s="124"/>
      <c r="AL43" s="94"/>
      <c r="AM43" s="94"/>
      <c r="AN43" s="94"/>
      <c r="AO43" s="28"/>
      <c r="AP43" s="35"/>
      <c r="AQ43" s="94"/>
      <c r="AR43" s="488"/>
      <c r="AS43" s="94"/>
      <c r="AT43" s="94"/>
      <c r="AU43" s="94"/>
      <c r="AV43" s="94"/>
      <c r="AW43" s="28"/>
      <c r="AX43" s="28"/>
      <c r="AY43" s="28"/>
      <c r="AZ43" s="28"/>
      <c r="BA43" s="28"/>
      <c r="BB43" s="94"/>
      <c r="BC43" s="94"/>
      <c r="BG43" s="3"/>
    </row>
    <row r="44" spans="1:59" s="485" customFormat="1" ht="12.75" customHeight="1" x14ac:dyDescent="0.2">
      <c r="A44" s="6" t="s">
        <v>306</v>
      </c>
      <c r="B44" s="489"/>
      <c r="C44" s="107" t="e">
        <f t="shared" ref="C44:C49" si="16">((I44-M44)*100)</f>
        <v>#REF!</v>
      </c>
      <c r="D44" s="513"/>
      <c r="E44" s="513"/>
      <c r="F44" s="513" t="e">
        <f t="shared" ref="F44:I45" si="17">+F18/F$16</f>
        <v>#REF!</v>
      </c>
      <c r="G44" s="513" t="e">
        <f t="shared" si="17"/>
        <v>#REF!</v>
      </c>
      <c r="H44" s="513" t="e">
        <f t="shared" si="17"/>
        <v>#REF!</v>
      </c>
      <c r="I44" s="513" t="e">
        <f t="shared" si="17"/>
        <v>#REF!</v>
      </c>
      <c r="J44" s="513" t="e">
        <f t="shared" ref="J44:L45" si="18">+J18/J$16</f>
        <v>#REF!</v>
      </c>
      <c r="K44" s="513" t="e">
        <f t="shared" si="18"/>
        <v>#REF!</v>
      </c>
      <c r="L44" s="513" t="e">
        <f t="shared" si="18"/>
        <v>#REF!</v>
      </c>
      <c r="M44" s="513" t="e">
        <f t="shared" ref="M44:T44" si="19">+M18/M$16</f>
        <v>#REF!</v>
      </c>
      <c r="N44" s="513" t="e">
        <f t="shared" si="19"/>
        <v>#REF!</v>
      </c>
      <c r="O44" s="513" t="e">
        <f t="shared" si="19"/>
        <v>#REF!</v>
      </c>
      <c r="P44" s="513" t="e">
        <f t="shared" si="19"/>
        <v>#REF!</v>
      </c>
      <c r="Q44" s="513" t="e">
        <f t="shared" si="19"/>
        <v>#REF!</v>
      </c>
      <c r="R44" s="513" t="e">
        <f t="shared" si="19"/>
        <v>#REF!</v>
      </c>
      <c r="S44" s="513" t="e">
        <f t="shared" si="19"/>
        <v>#REF!</v>
      </c>
      <c r="T44" s="513" t="e">
        <f t="shared" si="19"/>
        <v>#REF!</v>
      </c>
      <c r="U44" s="488"/>
      <c r="V44" s="513"/>
      <c r="W44" s="513"/>
      <c r="X44" s="513"/>
      <c r="Y44" s="488"/>
      <c r="Z44" s="513"/>
      <c r="AA44" s="513"/>
      <c r="AB44" s="513"/>
      <c r="AC44" s="488"/>
      <c r="AD44" s="487"/>
      <c r="AE44" s="487"/>
      <c r="AF44" s="487"/>
      <c r="AG44" s="487"/>
      <c r="AH44" s="124"/>
      <c r="AI44" s="124"/>
      <c r="AJ44" s="124"/>
      <c r="AK44" s="124"/>
      <c r="AL44" s="488"/>
      <c r="AM44" s="513" t="e">
        <f>+AM18/AM$16</f>
        <v>#REF!</v>
      </c>
      <c r="AN44" s="513" t="e">
        <f>+AN18/AN$16</f>
        <v>#REF!</v>
      </c>
      <c r="AO44" s="107" t="e">
        <f t="shared" ref="AO44:AO50" si="20">(AR44-AS44)*100</f>
        <v>#REF!</v>
      </c>
      <c r="AP44" s="513"/>
      <c r="AQ44" s="488"/>
      <c r="AR44" s="513" t="e">
        <f t="shared" ref="AR44:AW45" si="21">+AR18/AR$16</f>
        <v>#REF!</v>
      </c>
      <c r="AS44" s="513" t="e">
        <f t="shared" si="21"/>
        <v>#REF!</v>
      </c>
      <c r="AT44" s="513">
        <f t="shared" si="21"/>
        <v>0.46424895916171588</v>
      </c>
      <c r="AU44" s="513">
        <f t="shared" si="21"/>
        <v>0.46825388659677136</v>
      </c>
      <c r="AV44" s="513">
        <f t="shared" si="21"/>
        <v>0.44054887565394363</v>
      </c>
      <c r="AW44" s="513">
        <f t="shared" si="21"/>
        <v>0.44442960244840551</v>
      </c>
      <c r="AX44" s="512"/>
      <c r="AY44" s="512"/>
      <c r="AZ44" s="512"/>
      <c r="BA44" s="512"/>
      <c r="BB44" s="488"/>
      <c r="BC44" s="488"/>
      <c r="BG44" s="486"/>
    </row>
    <row r="45" spans="1:59" s="485" customFormat="1" ht="12.75" customHeight="1" x14ac:dyDescent="0.2">
      <c r="A45" s="6" t="s">
        <v>307</v>
      </c>
      <c r="B45" s="489"/>
      <c r="C45" s="107" t="e">
        <f t="shared" si="16"/>
        <v>#REF!</v>
      </c>
      <c r="D45" s="513"/>
      <c r="E45" s="513"/>
      <c r="F45" s="513" t="e">
        <f t="shared" si="17"/>
        <v>#REF!</v>
      </c>
      <c r="G45" s="513" t="e">
        <f t="shared" si="17"/>
        <v>#REF!</v>
      </c>
      <c r="H45" s="513" t="e">
        <f t="shared" si="17"/>
        <v>#REF!</v>
      </c>
      <c r="I45" s="513" t="e">
        <f t="shared" si="17"/>
        <v>#REF!</v>
      </c>
      <c r="J45" s="513" t="e">
        <f t="shared" si="18"/>
        <v>#REF!</v>
      </c>
      <c r="K45" s="513" t="e">
        <f t="shared" si="18"/>
        <v>#REF!</v>
      </c>
      <c r="L45" s="513" t="e">
        <f t="shared" si="18"/>
        <v>#REF!</v>
      </c>
      <c r="M45" s="513" t="e">
        <f t="shared" ref="M45:T45" si="22">+M19/M$16</f>
        <v>#REF!</v>
      </c>
      <c r="N45" s="513" t="e">
        <f t="shared" si="22"/>
        <v>#REF!</v>
      </c>
      <c r="O45" s="513" t="e">
        <f t="shared" si="22"/>
        <v>#REF!</v>
      </c>
      <c r="P45" s="513" t="e">
        <f t="shared" si="22"/>
        <v>#REF!</v>
      </c>
      <c r="Q45" s="513" t="e">
        <f t="shared" si="22"/>
        <v>#REF!</v>
      </c>
      <c r="R45" s="513" t="e">
        <f t="shared" si="22"/>
        <v>#REF!</v>
      </c>
      <c r="S45" s="513" t="e">
        <f t="shared" si="22"/>
        <v>#REF!</v>
      </c>
      <c r="T45" s="513" t="e">
        <f t="shared" si="22"/>
        <v>#REF!</v>
      </c>
      <c r="U45" s="488"/>
      <c r="V45" s="513"/>
      <c r="W45" s="513"/>
      <c r="X45" s="513"/>
      <c r="Y45" s="488"/>
      <c r="Z45" s="513"/>
      <c r="AA45" s="513"/>
      <c r="AB45" s="513"/>
      <c r="AC45" s="488"/>
      <c r="AD45" s="487"/>
      <c r="AE45" s="487"/>
      <c r="AF45" s="487"/>
      <c r="AG45" s="487"/>
      <c r="AH45" s="124"/>
      <c r="AI45" s="124"/>
      <c r="AJ45" s="124"/>
      <c r="AK45" s="124"/>
      <c r="AL45" s="488"/>
      <c r="AM45" s="513" t="e">
        <f>+AM19/AM$16</f>
        <v>#REF!</v>
      </c>
      <c r="AN45" s="513" t="e">
        <f>+AN19/AN$16</f>
        <v>#REF!</v>
      </c>
      <c r="AO45" s="107" t="e">
        <f t="shared" si="20"/>
        <v>#REF!</v>
      </c>
      <c r="AP45" s="513"/>
      <c r="AQ45" s="488"/>
      <c r="AR45" s="513" t="e">
        <f t="shared" si="21"/>
        <v>#REF!</v>
      </c>
      <c r="AS45" s="513" t="e">
        <f t="shared" si="21"/>
        <v>#REF!</v>
      </c>
      <c r="AT45" s="513">
        <f t="shared" si="21"/>
        <v>5.8423940282947631E-3</v>
      </c>
      <c r="AU45" s="513">
        <f t="shared" si="21"/>
        <v>3.5293179549967593E-2</v>
      </c>
      <c r="AV45" s="513">
        <f t="shared" si="21"/>
        <v>1.5382502403516001E-2</v>
      </c>
      <c r="AW45" s="513">
        <f t="shared" si="21"/>
        <v>1.0758919275693132E-2</v>
      </c>
      <c r="AX45" s="512"/>
      <c r="AY45" s="512"/>
      <c r="AZ45" s="512"/>
      <c r="BA45" s="512"/>
      <c r="BB45" s="488"/>
      <c r="BC45" s="488"/>
      <c r="BG45" s="486"/>
    </row>
    <row r="46" spans="1:59" ht="12.75" customHeight="1" x14ac:dyDescent="0.2">
      <c r="A46" s="91" t="s">
        <v>76</v>
      </c>
      <c r="B46" s="92"/>
      <c r="C46" s="107" t="e">
        <f t="shared" si="16"/>
        <v>#REF!</v>
      </c>
      <c r="D46" s="35"/>
      <c r="E46" s="35"/>
      <c r="F46" s="125" t="e">
        <f t="shared" ref="F46:K46" si="23">F20/F16</f>
        <v>#REF!</v>
      </c>
      <c r="G46" s="125" t="e">
        <f t="shared" si="23"/>
        <v>#REF!</v>
      </c>
      <c r="H46" s="125" t="e">
        <f t="shared" si="23"/>
        <v>#REF!</v>
      </c>
      <c r="I46" s="125" t="e">
        <f t="shared" si="23"/>
        <v>#REF!</v>
      </c>
      <c r="J46" s="125" t="e">
        <f t="shared" si="23"/>
        <v>#REF!</v>
      </c>
      <c r="K46" s="125" t="e">
        <f t="shared" si="23"/>
        <v>#REF!</v>
      </c>
      <c r="L46" s="125" t="e">
        <f t="shared" ref="L46:Q46" si="24">L20/L16</f>
        <v>#REF!</v>
      </c>
      <c r="M46" s="125" t="e">
        <f t="shared" si="24"/>
        <v>#REF!</v>
      </c>
      <c r="N46" s="125" t="e">
        <f t="shared" si="24"/>
        <v>#REF!</v>
      </c>
      <c r="O46" s="125" t="e">
        <f t="shared" si="24"/>
        <v>#REF!</v>
      </c>
      <c r="P46" s="125" t="e">
        <f t="shared" si="24"/>
        <v>#REF!</v>
      </c>
      <c r="Q46" s="125" t="e">
        <f t="shared" si="24"/>
        <v>#REF!</v>
      </c>
      <c r="R46" s="125" t="e">
        <f>R20/R16</f>
        <v>#REF!</v>
      </c>
      <c r="S46" s="125" t="e">
        <f>S20/S16</f>
        <v>#REF!</v>
      </c>
      <c r="T46" s="125" t="e">
        <f>T20/T16</f>
        <v>#REF!</v>
      </c>
      <c r="U46" s="125">
        <f>U20/U16</f>
        <v>0.45987807341302633</v>
      </c>
      <c r="V46" s="125">
        <v>0.49154271490073659</v>
      </c>
      <c r="W46" s="125">
        <v>0.52642647986669466</v>
      </c>
      <c r="X46" s="125">
        <v>0.491577219345877</v>
      </c>
      <c r="Y46" s="125">
        <v>0.49554211112880114</v>
      </c>
      <c r="Z46" s="125">
        <v>0.40791932292811606</v>
      </c>
      <c r="AA46" s="125">
        <v>0.48771044353026582</v>
      </c>
      <c r="AB46" s="125">
        <v>0.44391331269349843</v>
      </c>
      <c r="AC46" s="125">
        <v>0.48046437296790906</v>
      </c>
      <c r="AD46" s="32">
        <v>0.40500000000000003</v>
      </c>
      <c r="AE46" s="32">
        <v>0.46600000000000003</v>
      </c>
      <c r="AF46" s="32">
        <v>0.44700000000000001</v>
      </c>
      <c r="AG46" s="32">
        <v>0.48499999999999999</v>
      </c>
      <c r="AH46" s="32">
        <v>0.504</v>
      </c>
      <c r="AI46" s="32">
        <v>0.503</v>
      </c>
      <c r="AJ46" s="32">
        <v>0.48399999999999999</v>
      </c>
      <c r="AK46" s="32">
        <v>0.49099999999999999</v>
      </c>
      <c r="AL46" s="94"/>
      <c r="AM46" s="125" t="e">
        <f>AM20/AM16</f>
        <v>#REF!</v>
      </c>
      <c r="AN46" s="125" t="e">
        <f>AN20/AN16</f>
        <v>#REF!</v>
      </c>
      <c r="AO46" s="107" t="e">
        <f t="shared" si="20"/>
        <v>#REF!</v>
      </c>
      <c r="AP46" s="35"/>
      <c r="AQ46" s="94"/>
      <c r="AR46" s="125" t="e">
        <f>AR20/AR16</f>
        <v>#REF!</v>
      </c>
      <c r="AS46" s="125" t="e">
        <f>AS20/AS16</f>
        <v>#REF!</v>
      </c>
      <c r="AT46" s="125">
        <f>AT20/AT16</f>
        <v>0.47009135319001061</v>
      </c>
      <c r="AU46" s="32">
        <v>0.50354706614673894</v>
      </c>
      <c r="AV46" s="32">
        <v>0.45593137805745965</v>
      </c>
      <c r="AW46" s="32">
        <v>0.45535489702876908</v>
      </c>
      <c r="AX46" s="32">
        <v>0.497</v>
      </c>
      <c r="AY46" s="225">
        <v>0.50600000000000001</v>
      </c>
      <c r="AZ46" s="225">
        <v>0.48799999999999999</v>
      </c>
      <c r="BA46" s="225">
        <v>0.51900000000000002</v>
      </c>
      <c r="BB46" s="94"/>
      <c r="BC46" s="94"/>
      <c r="BG46" s="3"/>
    </row>
    <row r="47" spans="1:59" ht="12.75" customHeight="1" x14ac:dyDescent="0.2">
      <c r="A47" s="91" t="s">
        <v>207</v>
      </c>
      <c r="B47" s="92"/>
      <c r="C47" s="107" t="e">
        <f t="shared" si="16"/>
        <v>#REF!</v>
      </c>
      <c r="D47" s="35"/>
      <c r="E47" s="35"/>
      <c r="F47" s="125" t="e">
        <f t="shared" ref="F47:K47" si="25">(F20+F21)/F16</f>
        <v>#REF!</v>
      </c>
      <c r="G47" s="125" t="e">
        <f t="shared" si="25"/>
        <v>#REF!</v>
      </c>
      <c r="H47" s="125" t="e">
        <f t="shared" si="25"/>
        <v>#REF!</v>
      </c>
      <c r="I47" s="125" t="e">
        <f t="shared" si="25"/>
        <v>#REF!</v>
      </c>
      <c r="J47" s="125" t="e">
        <f t="shared" si="25"/>
        <v>#REF!</v>
      </c>
      <c r="K47" s="125" t="e">
        <f t="shared" si="25"/>
        <v>#REF!</v>
      </c>
      <c r="L47" s="125" t="e">
        <f t="shared" ref="L47:Q47" si="26">(L20+L21)/L16</f>
        <v>#REF!</v>
      </c>
      <c r="M47" s="125" t="e">
        <f t="shared" si="26"/>
        <v>#REF!</v>
      </c>
      <c r="N47" s="125" t="e">
        <f t="shared" si="26"/>
        <v>#REF!</v>
      </c>
      <c r="O47" s="125" t="e">
        <f t="shared" si="26"/>
        <v>#REF!</v>
      </c>
      <c r="P47" s="125" t="e">
        <f t="shared" si="26"/>
        <v>#REF!</v>
      </c>
      <c r="Q47" s="125" t="e">
        <f t="shared" si="26"/>
        <v>#REF!</v>
      </c>
      <c r="R47" s="125" t="e">
        <f>(R20+R21)/R16</f>
        <v>#REF!</v>
      </c>
      <c r="S47" s="125" t="e">
        <f>(S20+S21)/S16</f>
        <v>#REF!</v>
      </c>
      <c r="T47" s="125" t="e">
        <f>(T20+T21)/T16</f>
        <v>#REF!</v>
      </c>
      <c r="U47" s="125">
        <f>(U20+U21)/U16</f>
        <v>0.58272278227657504</v>
      </c>
      <c r="V47" s="125">
        <v>0.63251106894370657</v>
      </c>
      <c r="W47" s="125">
        <v>0.6241001083914387</v>
      </c>
      <c r="X47" s="125">
        <v>0.63631771688344485</v>
      </c>
      <c r="Y47" s="125">
        <v>0.6233083903836969</v>
      </c>
      <c r="Z47" s="125">
        <v>0.57015278083095189</v>
      </c>
      <c r="AA47" s="125">
        <v>0.66477685207591519</v>
      </c>
      <c r="AB47" s="125">
        <v>0.58443343653250779</v>
      </c>
      <c r="AC47" s="125">
        <v>0.59613512371645327</v>
      </c>
      <c r="AD47" s="32">
        <v>0.52400000000000002</v>
      </c>
      <c r="AE47" s="32">
        <v>0.55100000000000005</v>
      </c>
      <c r="AF47" s="32">
        <v>0.53600000000000003</v>
      </c>
      <c r="AG47" s="32">
        <v>0.55900000000000005</v>
      </c>
      <c r="AH47" s="32">
        <v>0.57599999999999996</v>
      </c>
      <c r="AI47" s="32">
        <v>0.57099999999999995</v>
      </c>
      <c r="AJ47" s="32">
        <v>0.56799999999999995</v>
      </c>
      <c r="AK47" s="32">
        <v>0.56599999999999995</v>
      </c>
      <c r="AL47" s="94"/>
      <c r="AM47" s="125" t="e">
        <f>(AM20+AM21)/AM16</f>
        <v>#REF!</v>
      </c>
      <c r="AN47" s="125" t="e">
        <f>(AN20+AN21)/AN16</f>
        <v>#REF!</v>
      </c>
      <c r="AO47" s="107" t="e">
        <f t="shared" si="20"/>
        <v>#REF!</v>
      </c>
      <c r="AP47" s="35"/>
      <c r="AQ47" s="94"/>
      <c r="AR47" s="125" t="e">
        <f>(AR20+AR21)/AR16</f>
        <v>#REF!</v>
      </c>
      <c r="AS47" s="125" t="e">
        <f>(AS20+AS21)/AS16</f>
        <v>#REF!</v>
      </c>
      <c r="AT47" s="125">
        <f>(AT20+AT21)/AT16</f>
        <v>0.55997099686579033</v>
      </c>
      <c r="AU47" s="32">
        <v>0.62853034683567743</v>
      </c>
      <c r="AV47" s="32">
        <v>0.59949619807469001</v>
      </c>
      <c r="AW47" s="32">
        <v>0.5442108159094482</v>
      </c>
      <c r="AX47" s="32">
        <v>0.57099999999999995</v>
      </c>
      <c r="AY47" s="225">
        <v>0.59099999999999997</v>
      </c>
      <c r="AZ47" s="225">
        <v>0.60399999999999998</v>
      </c>
      <c r="BA47" s="225">
        <v>0.61799999999999999</v>
      </c>
      <c r="BB47" s="94"/>
      <c r="BC47" s="94"/>
      <c r="BG47" s="3"/>
    </row>
    <row r="48" spans="1:59" ht="12.75" customHeight="1" x14ac:dyDescent="0.2">
      <c r="A48" s="91" t="s">
        <v>77</v>
      </c>
      <c r="B48" s="92"/>
      <c r="C48" s="107" t="e">
        <f t="shared" si="16"/>
        <v>#REF!</v>
      </c>
      <c r="D48" s="35"/>
      <c r="E48" s="35"/>
      <c r="F48" s="125" t="e">
        <f t="shared" ref="F48:L48" si="27">(F23+F24+F25+F26+F27+F28+F29+F32+F33+F34+F30+F31)/F16</f>
        <v>#REF!</v>
      </c>
      <c r="G48" s="125" t="e">
        <f t="shared" si="27"/>
        <v>#REF!</v>
      </c>
      <c r="H48" s="125" t="e">
        <f t="shared" si="27"/>
        <v>#REF!</v>
      </c>
      <c r="I48" s="125" t="e">
        <f t="shared" si="27"/>
        <v>#REF!</v>
      </c>
      <c r="J48" s="125" t="e">
        <f t="shared" si="27"/>
        <v>#REF!</v>
      </c>
      <c r="K48" s="125" t="e">
        <f t="shared" si="27"/>
        <v>#REF!</v>
      </c>
      <c r="L48" s="125" t="e">
        <f t="shared" si="27"/>
        <v>#REF!</v>
      </c>
      <c r="M48" s="125" t="e">
        <f t="shared" ref="M48:U48" si="28">(M23+M24+M25+M26+M27+M28+M29+M32+M33+M34+M30+M31)/M16</f>
        <v>#REF!</v>
      </c>
      <c r="N48" s="125" t="e">
        <f t="shared" si="28"/>
        <v>#REF!</v>
      </c>
      <c r="O48" s="125" t="e">
        <f t="shared" si="28"/>
        <v>#REF!</v>
      </c>
      <c r="P48" s="125" t="e">
        <f t="shared" si="28"/>
        <v>#REF!</v>
      </c>
      <c r="Q48" s="125" t="e">
        <f t="shared" si="28"/>
        <v>#REF!</v>
      </c>
      <c r="R48" s="125" t="e">
        <f t="shared" si="28"/>
        <v>#REF!</v>
      </c>
      <c r="S48" s="125" t="e">
        <f t="shared" si="28"/>
        <v>#REF!</v>
      </c>
      <c r="T48" s="125" t="e">
        <f t="shared" si="28"/>
        <v>#REF!</v>
      </c>
      <c r="U48" s="125">
        <f t="shared" si="28"/>
        <v>0.38562037496097984</v>
      </c>
      <c r="V48" s="125">
        <v>0.3649894921548224</v>
      </c>
      <c r="W48" s="125">
        <v>0.23753094009350784</v>
      </c>
      <c r="X48" s="125">
        <v>0.31925748200530368</v>
      </c>
      <c r="Y48" s="125">
        <v>0.27244296859007894</v>
      </c>
      <c r="Z48" s="125">
        <v>0.33695592437898442</v>
      </c>
      <c r="AA48" s="125">
        <v>0.90266878694645136</v>
      </c>
      <c r="AB48" s="125">
        <v>0.36575851393188852</v>
      </c>
      <c r="AC48" s="125">
        <v>0.29228126894322087</v>
      </c>
      <c r="AD48" s="32">
        <v>0.91199999999999992</v>
      </c>
      <c r="AE48" s="32">
        <v>0.32099999999999995</v>
      </c>
      <c r="AF48" s="32">
        <v>0.315</v>
      </c>
      <c r="AG48" s="32">
        <v>0.21399999999999997</v>
      </c>
      <c r="AH48" s="32">
        <v>0.19700000000000006</v>
      </c>
      <c r="AI48" s="32">
        <v>0.22300000000000009</v>
      </c>
      <c r="AJ48" s="32">
        <v>0.28700000000000003</v>
      </c>
      <c r="AK48" s="32">
        <v>0.28100000000000003</v>
      </c>
      <c r="AL48" s="94"/>
      <c r="AM48" s="125" t="e">
        <f>(AM35-AM20-AM21)/AM16</f>
        <v>#REF!</v>
      </c>
      <c r="AN48" s="125" t="e">
        <f>(AN35-AN20-AN21)/AN16</f>
        <v>#REF!</v>
      </c>
      <c r="AO48" s="107" t="e">
        <f t="shared" si="20"/>
        <v>#REF!</v>
      </c>
      <c r="AP48" s="35"/>
      <c r="AQ48" s="94"/>
      <c r="AR48" s="125" t="e">
        <f>(AR23+AR24+AR25+AR26+AR27+AR28+AR29+AR32+AR33+AR34+AR30+AR31)/AR16</f>
        <v>#REF!</v>
      </c>
      <c r="AS48" s="125" t="e">
        <f>(AS23+AS24+AS25+AS26+AS27+AS28+AS29+AS32+AS33+AS34+AS30+AS31)/AS16</f>
        <v>#REF!</v>
      </c>
      <c r="AT48" s="125">
        <f>(AT23+AT24+AT25+AT26+AT27+AT28+AT29+AT32+AT33+AT34+AT30+AT31)/AT16</f>
        <v>0.25307072354132276</v>
      </c>
      <c r="AU48" s="32">
        <v>0.29421100284999946</v>
      </c>
      <c r="AV48" s="32">
        <v>0.43109088411931429</v>
      </c>
      <c r="AW48" s="32">
        <v>0.40832982235497561</v>
      </c>
      <c r="AX48" s="32">
        <v>0.24299999999999999</v>
      </c>
      <c r="AY48" s="225">
        <v>0.24</v>
      </c>
      <c r="AZ48" s="225">
        <v>0.26200000000000001</v>
      </c>
      <c r="BA48" s="225">
        <v>0.23499999999999999</v>
      </c>
      <c r="BB48" s="94"/>
      <c r="BC48" s="94"/>
      <c r="BG48" s="3"/>
    </row>
    <row r="49" spans="1:59" ht="12.75" customHeight="1" x14ac:dyDescent="0.2">
      <c r="A49" s="91" t="s">
        <v>78</v>
      </c>
      <c r="B49" s="91"/>
      <c r="C49" s="107" t="e">
        <f t="shared" si="16"/>
        <v>#REF!</v>
      </c>
      <c r="D49" s="35"/>
      <c r="E49" s="35"/>
      <c r="F49" s="125" t="e">
        <f t="shared" ref="F49:L49" si="29">F35/F16</f>
        <v>#REF!</v>
      </c>
      <c r="G49" s="125" t="e">
        <f t="shared" si="29"/>
        <v>#REF!</v>
      </c>
      <c r="H49" s="125" t="e">
        <f t="shared" si="29"/>
        <v>#REF!</v>
      </c>
      <c r="I49" s="125" t="e">
        <f t="shared" si="29"/>
        <v>#REF!</v>
      </c>
      <c r="J49" s="125" t="e">
        <f t="shared" si="29"/>
        <v>#REF!</v>
      </c>
      <c r="K49" s="125" t="e">
        <f t="shared" si="29"/>
        <v>#REF!</v>
      </c>
      <c r="L49" s="125" t="e">
        <f t="shared" si="29"/>
        <v>#REF!</v>
      </c>
      <c r="M49" s="125" t="e">
        <f t="shared" ref="M49:U49" si="30">M35/M16</f>
        <v>#REF!</v>
      </c>
      <c r="N49" s="125" t="e">
        <f t="shared" si="30"/>
        <v>#REF!</v>
      </c>
      <c r="O49" s="125" t="e">
        <f t="shared" si="30"/>
        <v>#REF!</v>
      </c>
      <c r="P49" s="125" t="e">
        <f t="shared" si="30"/>
        <v>#REF!</v>
      </c>
      <c r="Q49" s="125" t="e">
        <f t="shared" si="30"/>
        <v>#REF!</v>
      </c>
      <c r="R49" s="125" t="e">
        <f t="shared" si="30"/>
        <v>#REF!</v>
      </c>
      <c r="S49" s="125" t="e">
        <f t="shared" si="30"/>
        <v>#REF!</v>
      </c>
      <c r="T49" s="125" t="e">
        <f t="shared" si="30"/>
        <v>#REF!</v>
      </c>
      <c r="U49" s="125">
        <f t="shared" si="30"/>
        <v>0.96834315723755482</v>
      </c>
      <c r="V49" s="125">
        <v>0.99750056109852892</v>
      </c>
      <c r="W49" s="125">
        <v>0.86163104848494654</v>
      </c>
      <c r="X49" s="125">
        <v>0.95557519888874853</v>
      </c>
      <c r="Y49" s="125">
        <v>0.89475135897377578</v>
      </c>
      <c r="Z49" s="125">
        <v>0.90710870520993625</v>
      </c>
      <c r="AA49" s="125">
        <v>1.5674456390223666</v>
      </c>
      <c r="AB49" s="125">
        <v>0.95019195046439631</v>
      </c>
      <c r="AC49" s="125">
        <v>0.88841639265967409</v>
      </c>
      <c r="AD49" s="32">
        <v>1.4359999999999999</v>
      </c>
      <c r="AE49" s="32">
        <v>0.872</v>
      </c>
      <c r="AF49" s="32">
        <v>0.85099999999999998</v>
      </c>
      <c r="AG49" s="32">
        <v>0.77300000000000002</v>
      </c>
      <c r="AH49" s="32">
        <v>0.77300000000000002</v>
      </c>
      <c r="AI49" s="32">
        <v>0.79400000000000004</v>
      </c>
      <c r="AJ49" s="32">
        <v>0.85499999999999998</v>
      </c>
      <c r="AK49" s="32">
        <v>0.84699999999999998</v>
      </c>
      <c r="AL49" s="94"/>
      <c r="AM49" s="125" t="e">
        <f>AM35/AM16</f>
        <v>#REF!</v>
      </c>
      <c r="AN49" s="125" t="e">
        <f>AN35/AN16</f>
        <v>#REF!</v>
      </c>
      <c r="AO49" s="107" t="e">
        <f t="shared" si="20"/>
        <v>#REF!</v>
      </c>
      <c r="AP49" s="35"/>
      <c r="AQ49" s="94"/>
      <c r="AR49" s="125" t="e">
        <f>AR35/AR16</f>
        <v>#REF!</v>
      </c>
      <c r="AS49" s="125" t="e">
        <f>AS35/AS16</f>
        <v>#REF!</v>
      </c>
      <c r="AT49" s="125">
        <f>AT35/AT16</f>
        <v>0.81304172040711309</v>
      </c>
      <c r="AU49" s="32">
        <v>0.921741349685677</v>
      </c>
      <c r="AV49" s="32">
        <v>1.0305870821940044</v>
      </c>
      <c r="AW49" s="32">
        <v>0.95154063826442381</v>
      </c>
      <c r="AX49" s="32">
        <v>0.81399999999999995</v>
      </c>
      <c r="AY49" s="225">
        <v>0.83099999999999996</v>
      </c>
      <c r="AZ49" s="225">
        <v>0.86599999999999999</v>
      </c>
      <c r="BA49" s="225">
        <v>0.85299999999999998</v>
      </c>
      <c r="BB49" s="94"/>
      <c r="BC49" s="94"/>
      <c r="BG49" s="3"/>
    </row>
    <row r="50" spans="1:59" ht="12.75" customHeight="1" x14ac:dyDescent="0.2">
      <c r="A50" s="91" t="s">
        <v>79</v>
      </c>
      <c r="B50" s="467"/>
      <c r="C50" s="107" t="e">
        <f>I50-M50</f>
        <v>#REF!</v>
      </c>
      <c r="D50" s="35"/>
      <c r="E50" s="35"/>
      <c r="F50" s="125" t="e">
        <f t="shared" ref="F50:L50" si="31">F36/F16</f>
        <v>#REF!</v>
      </c>
      <c r="G50" s="125" t="e">
        <f t="shared" si="31"/>
        <v>#REF!</v>
      </c>
      <c r="H50" s="125" t="e">
        <f t="shared" si="31"/>
        <v>#REF!</v>
      </c>
      <c r="I50" s="125" t="e">
        <f t="shared" si="31"/>
        <v>#REF!</v>
      </c>
      <c r="J50" s="125" t="e">
        <f t="shared" si="31"/>
        <v>#REF!</v>
      </c>
      <c r="K50" s="125" t="e">
        <f t="shared" si="31"/>
        <v>#REF!</v>
      </c>
      <c r="L50" s="125" t="e">
        <f t="shared" si="31"/>
        <v>#REF!</v>
      </c>
      <c r="M50" s="125" t="e">
        <f t="shared" ref="M50:U50" si="32">M36/M16</f>
        <v>#REF!</v>
      </c>
      <c r="N50" s="125" t="e">
        <f t="shared" si="32"/>
        <v>#REF!</v>
      </c>
      <c r="O50" s="125" t="e">
        <f t="shared" si="32"/>
        <v>#REF!</v>
      </c>
      <c r="P50" s="125" t="e">
        <f t="shared" si="32"/>
        <v>#REF!</v>
      </c>
      <c r="Q50" s="125" t="e">
        <f t="shared" si="32"/>
        <v>#REF!</v>
      </c>
      <c r="R50" s="125" t="e">
        <f t="shared" si="32"/>
        <v>#REF!</v>
      </c>
      <c r="S50" s="125" t="e">
        <f t="shared" si="32"/>
        <v>#REF!</v>
      </c>
      <c r="T50" s="125" t="e">
        <f t="shared" si="32"/>
        <v>#REF!</v>
      </c>
      <c r="U50" s="125">
        <f t="shared" si="32"/>
        <v>3.1656842762445139E-2</v>
      </c>
      <c r="V50" s="125">
        <v>2.4994389014710984E-3</v>
      </c>
      <c r="W50" s="125">
        <v>0.13836895151505346</v>
      </c>
      <c r="X50" s="125">
        <v>4.4424801111251418E-2</v>
      </c>
      <c r="Y50" s="125">
        <v>0.10424864102622422</v>
      </c>
      <c r="Z50" s="125">
        <v>9.289129479006375E-2</v>
      </c>
      <c r="AA50" s="125">
        <v>-0.56601101766625794</v>
      </c>
      <c r="AB50" s="125">
        <v>5.0102135561745587E-2</v>
      </c>
      <c r="AC50" s="125">
        <v>0.111746772208856</v>
      </c>
      <c r="AD50" s="32">
        <v>-0.43578425270737381</v>
      </c>
      <c r="AE50" s="32">
        <v>0.128</v>
      </c>
      <c r="AF50" s="32">
        <v>0.14900000000000002</v>
      </c>
      <c r="AG50" s="32">
        <v>0.22699999999999998</v>
      </c>
      <c r="AH50" s="32">
        <v>0.22699999999999998</v>
      </c>
      <c r="AI50" s="32">
        <v>0.20599999999999996</v>
      </c>
      <c r="AJ50" s="32">
        <v>0.14499999999999999</v>
      </c>
      <c r="AK50" s="32">
        <v>0.15300000000000002</v>
      </c>
      <c r="AL50" s="94"/>
      <c r="AM50" s="125" t="e">
        <f>AM36/AM16</f>
        <v>#REF!</v>
      </c>
      <c r="AN50" s="125" t="e">
        <f>AN36/AN16</f>
        <v>#REF!</v>
      </c>
      <c r="AO50" s="107" t="e">
        <f t="shared" si="20"/>
        <v>#REF!</v>
      </c>
      <c r="AP50" s="35"/>
      <c r="AQ50" s="94"/>
      <c r="AR50" s="125" t="e">
        <f>AR36/AR16</f>
        <v>#REF!</v>
      </c>
      <c r="AS50" s="125" t="e">
        <f>AS36/AS16</f>
        <v>#REF!</v>
      </c>
      <c r="AT50" s="125">
        <f>AT36/AT16</f>
        <v>0.18695827959288688</v>
      </c>
      <c r="AU50" s="32">
        <v>7.7258650314323052E-2</v>
      </c>
      <c r="AV50" s="32">
        <v>-3.0587082194004321E-2</v>
      </c>
      <c r="AW50" s="32">
        <v>4.8807030915441217E-2</v>
      </c>
      <c r="AX50" s="32">
        <v>0.18703015314085791</v>
      </c>
      <c r="AY50" s="225">
        <f>AY36/AY16</f>
        <v>0.16914940784451749</v>
      </c>
      <c r="AZ50" s="225">
        <f>AZ36/AZ16</f>
        <v>0.13366467943212246</v>
      </c>
      <c r="BA50" s="225">
        <v>0.14700000000000002</v>
      </c>
      <c r="BB50" s="94"/>
      <c r="BC50" s="94"/>
      <c r="BG50" s="3"/>
    </row>
    <row r="51" spans="1:59" ht="12.75" customHeight="1" x14ac:dyDescent="0.2">
      <c r="A51" s="92"/>
      <c r="B51" s="92"/>
      <c r="C51" s="107"/>
      <c r="D51" s="35"/>
      <c r="E51" s="35"/>
      <c r="F51" s="513"/>
      <c r="G51" s="513"/>
      <c r="H51" s="513"/>
      <c r="I51" s="513"/>
      <c r="J51" s="513"/>
      <c r="K51" s="513"/>
      <c r="L51" s="513"/>
      <c r="M51" s="513"/>
      <c r="N51" s="35"/>
      <c r="O51" s="35"/>
      <c r="P51" s="35"/>
      <c r="Q51" s="35"/>
      <c r="R51" s="35"/>
      <c r="S51" s="35"/>
      <c r="T51" s="35"/>
      <c r="U51" s="35"/>
      <c r="V51" s="35"/>
      <c r="W51" s="35"/>
      <c r="X51" s="35"/>
      <c r="Y51" s="35"/>
      <c r="Z51" s="35"/>
      <c r="AA51" s="35"/>
      <c r="AB51" s="35"/>
      <c r="AC51" s="125"/>
      <c r="AD51" s="125"/>
      <c r="AE51" s="44"/>
      <c r="AF51" s="44"/>
      <c r="AG51" s="44"/>
      <c r="AH51" s="125"/>
      <c r="AI51" s="125"/>
      <c r="AJ51" s="125"/>
      <c r="AK51" s="125"/>
      <c r="AL51" s="94"/>
      <c r="AM51" s="94"/>
      <c r="AN51" s="94"/>
      <c r="AO51" s="107"/>
      <c r="AP51" s="35"/>
      <c r="AQ51" s="94"/>
      <c r="AR51" s="32"/>
      <c r="AS51" s="32"/>
      <c r="AT51" s="32"/>
      <c r="AU51" s="32"/>
      <c r="AV51" s="32"/>
      <c r="AW51" s="32"/>
      <c r="AX51" s="9"/>
      <c r="AY51" s="225"/>
      <c r="AZ51" s="225"/>
      <c r="BA51" s="225"/>
      <c r="BB51" s="94"/>
      <c r="BC51" s="94"/>
      <c r="BG51" s="3"/>
    </row>
    <row r="52" spans="1:59" ht="12.75" customHeight="1" x14ac:dyDescent="0.2">
      <c r="A52" s="92" t="s">
        <v>88</v>
      </c>
      <c r="B52" s="92"/>
      <c r="C52" s="111">
        <f>I52-M52</f>
        <v>-285</v>
      </c>
      <c r="D52" s="513">
        <f>IF(OR((C52/M52)&gt;3,(C52/M52)&lt;-3),"n.m.",(C52/M52))</f>
        <v>-0.22317932654659359</v>
      </c>
      <c r="E52" s="35"/>
      <c r="F52" s="416"/>
      <c r="G52" s="416"/>
      <c r="H52" s="416"/>
      <c r="I52" s="416">
        <f>+'12 Misc Operating Stats'!U15</f>
        <v>992</v>
      </c>
      <c r="J52" s="416">
        <f>+'12 Misc Operating Stats'!V15</f>
        <v>1015</v>
      </c>
      <c r="K52" s="416">
        <f>+'12 Misc Operating Stats'!W15</f>
        <v>1049</v>
      </c>
      <c r="L52" s="416">
        <f>+'12 Misc Operating Stats'!X15</f>
        <v>1185</v>
      </c>
      <c r="M52" s="416">
        <f>+'12 Misc Operating Stats'!Y15</f>
        <v>1277</v>
      </c>
      <c r="N52" s="416">
        <f>'12 Misc Operating Stats'!Z15</f>
        <v>1309</v>
      </c>
      <c r="O52" s="416">
        <f>'12 Misc Operating Stats'!AA15</f>
        <v>1347</v>
      </c>
      <c r="P52" s="416">
        <f>'12 Misc Operating Stats'!AB15</f>
        <v>1336</v>
      </c>
      <c r="Q52" s="189">
        <f>'12 Misc Operating Stats'!AC15</f>
        <v>1313</v>
      </c>
      <c r="R52" s="189">
        <v>1325</v>
      </c>
      <c r="S52" s="189">
        <v>1312</v>
      </c>
      <c r="T52" s="189">
        <v>1310</v>
      </c>
      <c r="U52" s="189">
        <v>1333</v>
      </c>
      <c r="V52" s="99">
        <v>1247</v>
      </c>
      <c r="W52" s="189">
        <v>1271</v>
      </c>
      <c r="X52" s="189">
        <v>1257</v>
      </c>
      <c r="Y52" s="189">
        <v>1244</v>
      </c>
      <c r="Z52" s="189">
        <v>1265</v>
      </c>
      <c r="AA52" s="189">
        <v>1301</v>
      </c>
      <c r="AB52" s="189">
        <v>1385</v>
      </c>
      <c r="AC52" s="219">
        <v>1404</v>
      </c>
      <c r="AD52" s="219">
        <v>1395</v>
      </c>
      <c r="AE52" s="219">
        <v>1399</v>
      </c>
      <c r="AF52" s="219">
        <v>1418</v>
      </c>
      <c r="AG52" s="219">
        <v>1383</v>
      </c>
      <c r="AH52" s="219">
        <v>1334</v>
      </c>
      <c r="AI52" s="219">
        <v>1310</v>
      </c>
      <c r="AJ52" s="219">
        <v>1309</v>
      </c>
      <c r="AK52" s="219">
        <v>1292</v>
      </c>
      <c r="AL52" s="94"/>
      <c r="AM52" s="143">
        <f>K52</f>
        <v>1049</v>
      </c>
      <c r="AN52" s="143">
        <f>O52</f>
        <v>1347</v>
      </c>
      <c r="AO52" s="143">
        <f>AR52-AS52</f>
        <v>-294</v>
      </c>
      <c r="AP52" s="35">
        <f>IF(OR((AO52/AS52)&gt;3,(AO52/AS52)&lt;-3),"n.m.",(AO52/AS52))</f>
        <v>-0.22459893048128343</v>
      </c>
      <c r="AQ52" s="94"/>
      <c r="AR52" s="111">
        <f>+J52</f>
        <v>1015</v>
      </c>
      <c r="AS52" s="111">
        <f>N52</f>
        <v>1309</v>
      </c>
      <c r="AT52" s="111">
        <v>1325</v>
      </c>
      <c r="AU52" s="111">
        <v>1247</v>
      </c>
      <c r="AV52" s="111">
        <v>1265</v>
      </c>
      <c r="AW52" s="111">
        <v>1395</v>
      </c>
      <c r="AX52" s="111">
        <v>1334</v>
      </c>
      <c r="AY52" s="219">
        <v>1257</v>
      </c>
      <c r="AZ52" s="219">
        <v>1190</v>
      </c>
      <c r="BA52" s="219">
        <v>1104</v>
      </c>
      <c r="BB52" s="94"/>
      <c r="BC52" s="94"/>
      <c r="BG52" s="3"/>
    </row>
    <row r="53" spans="1:59" ht="12.75" customHeight="1" x14ac:dyDescent="0.2">
      <c r="A53" s="6"/>
      <c r="B53" s="6"/>
      <c r="C53" s="94"/>
      <c r="D53" s="94"/>
      <c r="E53" s="94"/>
      <c r="F53" s="488"/>
      <c r="G53" s="488"/>
      <c r="H53" s="488"/>
      <c r="I53" s="488"/>
      <c r="J53" s="488"/>
      <c r="K53" s="488"/>
      <c r="L53" s="488"/>
      <c r="M53" s="488"/>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488"/>
      <c r="AS53" s="94"/>
      <c r="AT53" s="94"/>
      <c r="AU53" s="94"/>
      <c r="AV53" s="94"/>
      <c r="AW53" s="94"/>
      <c r="AX53" s="94"/>
      <c r="AY53" s="219"/>
      <c r="AZ53" s="219"/>
      <c r="BA53" s="219"/>
      <c r="BB53" s="94"/>
      <c r="BC53" s="94"/>
      <c r="BG53" s="3"/>
    </row>
    <row r="54" spans="1:59" ht="18" customHeight="1" x14ac:dyDescent="0.2">
      <c r="A54" s="10" t="s">
        <v>252</v>
      </c>
      <c r="B54" s="6"/>
      <c r="C54" s="44"/>
      <c r="D54" s="44"/>
      <c r="E54" s="94"/>
      <c r="F54" s="488"/>
      <c r="G54" s="488"/>
      <c r="H54" s="488"/>
      <c r="I54" s="488"/>
      <c r="J54" s="488"/>
      <c r="K54" s="488"/>
      <c r="L54" s="488"/>
      <c r="M54" s="488"/>
      <c r="N54" s="94"/>
      <c r="O54" s="94"/>
      <c r="P54" s="94"/>
      <c r="Q54" s="94"/>
      <c r="R54" s="94"/>
      <c r="S54" s="94"/>
      <c r="T54" s="94"/>
      <c r="U54" s="94"/>
      <c r="V54" s="94"/>
      <c r="W54" s="94"/>
      <c r="X54" s="94"/>
      <c r="Y54" s="94"/>
      <c r="Z54" s="94"/>
      <c r="AA54" s="94"/>
      <c r="AB54" s="94"/>
      <c r="AC54" s="94"/>
      <c r="AD54" s="94"/>
      <c r="AE54" s="94"/>
      <c r="AF54" s="44"/>
      <c r="AG54" s="44"/>
      <c r="AH54" s="44"/>
      <c r="AI54" s="44"/>
      <c r="AJ54" s="44"/>
      <c r="AK54" s="44"/>
      <c r="AL54" s="44"/>
      <c r="AM54" s="44"/>
      <c r="AN54" s="44"/>
      <c r="AO54" s="94"/>
      <c r="AP54" s="94"/>
      <c r="AQ54" s="44"/>
      <c r="AR54" s="462"/>
      <c r="AS54" s="462"/>
      <c r="AT54" s="44"/>
      <c r="AU54" s="44"/>
      <c r="AV54" s="44"/>
      <c r="AW54" s="44"/>
      <c r="AX54" s="44"/>
      <c r="AY54" s="224"/>
      <c r="AZ54" s="224"/>
      <c r="BA54" s="224"/>
      <c r="BB54" s="94"/>
      <c r="BC54" s="94"/>
      <c r="BG54" s="3"/>
    </row>
    <row r="55" spans="1:59" ht="12.75" customHeight="1" x14ac:dyDescent="0.2">
      <c r="A55" s="126"/>
      <c r="B55" s="6"/>
      <c r="C55" s="44"/>
      <c r="D55" s="44"/>
      <c r="E55" s="94"/>
      <c r="F55" s="268"/>
      <c r="G55" s="268"/>
      <c r="H55" s="268"/>
      <c r="I55" s="488"/>
      <c r="J55" s="268"/>
      <c r="K55" s="268"/>
      <c r="L55" s="268"/>
      <c r="M55" s="488"/>
      <c r="N55" s="268"/>
      <c r="O55" s="268"/>
      <c r="P55" s="268"/>
      <c r="Q55" s="94"/>
      <c r="R55" s="268"/>
      <c r="S55" s="268"/>
      <c r="T55" s="268"/>
      <c r="U55" s="94"/>
      <c r="V55" s="268"/>
      <c r="W55" s="268"/>
      <c r="X55" s="268"/>
      <c r="Y55" s="94"/>
      <c r="Z55" s="268"/>
      <c r="AA55" s="94"/>
      <c r="AB55" s="94"/>
      <c r="AC55" s="94"/>
      <c r="AD55" s="94"/>
      <c r="AE55" s="94"/>
      <c r="AF55" s="44"/>
      <c r="AG55" s="44"/>
      <c r="AH55" s="44"/>
      <c r="AI55" s="44"/>
      <c r="AJ55" s="44"/>
      <c r="AK55" s="44"/>
      <c r="AL55" s="44"/>
      <c r="AM55" s="44"/>
      <c r="AN55" s="44"/>
      <c r="AO55" s="44"/>
      <c r="AP55" s="44"/>
      <c r="AQ55" s="44"/>
      <c r="AR55" s="487"/>
      <c r="AS55" s="44"/>
      <c r="AT55" s="44"/>
      <c r="AU55" s="44"/>
      <c r="AV55" s="44"/>
      <c r="AW55" s="44"/>
      <c r="AX55" s="44"/>
      <c r="AY55" s="224"/>
      <c r="AZ55" s="224"/>
      <c r="BA55" s="224"/>
      <c r="BB55" s="94"/>
      <c r="BC55" s="94"/>
      <c r="BG55" s="3"/>
    </row>
    <row r="56" spans="1:59" ht="12.75" customHeight="1" x14ac:dyDescent="0.2">
      <c r="A56" s="5"/>
      <c r="B56" s="6"/>
      <c r="C56" s="2493" t="s">
        <v>327</v>
      </c>
      <c r="D56" s="2494"/>
      <c r="E56" s="187"/>
      <c r="F56" s="276"/>
      <c r="G56" s="276"/>
      <c r="H56" s="276"/>
      <c r="I56" s="17"/>
      <c r="J56" s="276"/>
      <c r="K56" s="276"/>
      <c r="L56" s="276"/>
      <c r="M56" s="17"/>
      <c r="N56" s="15"/>
      <c r="O56" s="16"/>
      <c r="P56" s="276"/>
      <c r="Q56" s="17"/>
      <c r="R56" s="15"/>
      <c r="S56" s="16"/>
      <c r="T56" s="276"/>
      <c r="U56" s="17"/>
      <c r="V56" s="486"/>
      <c r="W56" s="16"/>
      <c r="X56" s="2"/>
      <c r="Y56" s="17"/>
      <c r="Z56" s="16"/>
      <c r="AA56" s="486"/>
      <c r="AB56" s="276"/>
      <c r="AC56" s="17"/>
      <c r="AD56" s="16"/>
      <c r="AE56" s="16"/>
      <c r="AF56" s="16"/>
      <c r="AG56" s="16"/>
      <c r="AH56" s="20"/>
      <c r="AI56" s="17"/>
      <c r="AJ56" s="17"/>
      <c r="AK56" s="17"/>
      <c r="AL56" s="22"/>
      <c r="AM56" s="450" t="s">
        <v>311</v>
      </c>
      <c r="AN56" s="438"/>
      <c r="AO56" s="438" t="s">
        <v>296</v>
      </c>
      <c r="AP56" s="439"/>
      <c r="AQ56" s="13"/>
      <c r="AR56" s="46"/>
      <c r="AS56" s="46"/>
      <c r="AT56" s="46"/>
      <c r="AU56" s="46"/>
      <c r="AV56" s="46"/>
      <c r="AW56" s="127"/>
      <c r="AX56" s="127"/>
      <c r="AY56" s="46"/>
      <c r="AZ56" s="46"/>
      <c r="BA56" s="469"/>
      <c r="BB56" s="108"/>
      <c r="BC56" s="94"/>
      <c r="BG56" s="3"/>
    </row>
    <row r="57" spans="1:59" ht="12.75" customHeight="1" x14ac:dyDescent="0.2">
      <c r="A57" s="5" t="s">
        <v>95</v>
      </c>
      <c r="B57" s="6"/>
      <c r="C57" s="2495" t="s">
        <v>39</v>
      </c>
      <c r="D57" s="2496"/>
      <c r="E57" s="358"/>
      <c r="F57" s="19" t="s">
        <v>330</v>
      </c>
      <c r="G57" s="19" t="s">
        <v>329</v>
      </c>
      <c r="H57" s="19" t="s">
        <v>328</v>
      </c>
      <c r="I57" s="12" t="s">
        <v>326</v>
      </c>
      <c r="J57" s="19" t="s">
        <v>282</v>
      </c>
      <c r="K57" s="19" t="s">
        <v>283</v>
      </c>
      <c r="L57" s="19" t="s">
        <v>284</v>
      </c>
      <c r="M57" s="12" t="s">
        <v>285</v>
      </c>
      <c r="N57" s="18" t="s">
        <v>220</v>
      </c>
      <c r="O57" s="19" t="s">
        <v>221</v>
      </c>
      <c r="P57" s="19" t="s">
        <v>222</v>
      </c>
      <c r="Q57" s="12" t="s">
        <v>219</v>
      </c>
      <c r="R57" s="18" t="s">
        <v>185</v>
      </c>
      <c r="S57" s="19" t="s">
        <v>186</v>
      </c>
      <c r="T57" s="19" t="s">
        <v>187</v>
      </c>
      <c r="U57" s="12" t="s">
        <v>188</v>
      </c>
      <c r="V57" s="19" t="s">
        <v>118</v>
      </c>
      <c r="W57" s="19" t="s">
        <v>117</v>
      </c>
      <c r="X57" s="19" t="s">
        <v>116</v>
      </c>
      <c r="Y57" s="12" t="s">
        <v>115</v>
      </c>
      <c r="Z57" s="19" t="s">
        <v>83</v>
      </c>
      <c r="AA57" s="19" t="s">
        <v>84</v>
      </c>
      <c r="AB57" s="19" t="s">
        <v>85</v>
      </c>
      <c r="AC57" s="12" t="s">
        <v>30</v>
      </c>
      <c r="AD57" s="19" t="s">
        <v>31</v>
      </c>
      <c r="AE57" s="19" t="s">
        <v>32</v>
      </c>
      <c r="AF57" s="19" t="s">
        <v>33</v>
      </c>
      <c r="AG57" s="19" t="s">
        <v>34</v>
      </c>
      <c r="AH57" s="21" t="s">
        <v>35</v>
      </c>
      <c r="AI57" s="12" t="s">
        <v>36</v>
      </c>
      <c r="AJ57" s="12" t="s">
        <v>37</v>
      </c>
      <c r="AK57" s="12" t="s">
        <v>38</v>
      </c>
      <c r="AL57" s="187"/>
      <c r="AM57" s="19" t="s">
        <v>283</v>
      </c>
      <c r="AN57" s="19" t="s">
        <v>221</v>
      </c>
      <c r="AO57" s="2498" t="s">
        <v>39</v>
      </c>
      <c r="AP57" s="2499"/>
      <c r="AQ57" s="130"/>
      <c r="AR57" s="18" t="s">
        <v>287</v>
      </c>
      <c r="AS57" s="18" t="s">
        <v>224</v>
      </c>
      <c r="AT57" s="18" t="s">
        <v>120</v>
      </c>
      <c r="AU57" s="18" t="s">
        <v>119</v>
      </c>
      <c r="AV57" s="18" t="s">
        <v>43</v>
      </c>
      <c r="AW57" s="21" t="s">
        <v>40</v>
      </c>
      <c r="AX57" s="21" t="s">
        <v>41</v>
      </c>
      <c r="AY57" s="21" t="s">
        <v>138</v>
      </c>
      <c r="AZ57" s="21" t="s">
        <v>139</v>
      </c>
      <c r="BA57" s="19" t="s">
        <v>140</v>
      </c>
      <c r="BB57" s="108"/>
      <c r="BC57" s="94"/>
      <c r="BG57" s="3"/>
    </row>
    <row r="58" spans="1:59" ht="12.75" customHeight="1" x14ac:dyDescent="0.2">
      <c r="A58" s="93"/>
      <c r="B58" s="94" t="s">
        <v>4</v>
      </c>
      <c r="C58" s="45" t="e">
        <f>I58-M58</f>
        <v>#REF!</v>
      </c>
      <c r="D58" s="503" t="e">
        <f>IF(OR((C58/M58)&gt;3,(C58/M58)&lt;-3),"n.m.",(C58/M58))</f>
        <v>#REF!</v>
      </c>
      <c r="E58" s="47"/>
      <c r="F58" s="499" t="e">
        <f t="shared" ref="F58:M58" si="33">+F16</f>
        <v>#REF!</v>
      </c>
      <c r="G58" s="499" t="e">
        <f t="shared" si="33"/>
        <v>#REF!</v>
      </c>
      <c r="H58" s="499" t="e">
        <f t="shared" si="33"/>
        <v>#REF!</v>
      </c>
      <c r="I58" s="500" t="e">
        <f t="shared" si="33"/>
        <v>#REF!</v>
      </c>
      <c r="J58" s="499" t="e">
        <f t="shared" si="33"/>
        <v>#REF!</v>
      </c>
      <c r="K58" s="499" t="e">
        <f t="shared" si="33"/>
        <v>#REF!</v>
      </c>
      <c r="L58" s="499" t="e">
        <f t="shared" si="33"/>
        <v>#REF!</v>
      </c>
      <c r="M58" s="500" t="e">
        <f t="shared" si="33"/>
        <v>#REF!</v>
      </c>
      <c r="N58" s="238" t="e">
        <f t="shared" ref="N58:U58" si="34">N16</f>
        <v>#REF!</v>
      </c>
      <c r="O58" s="238" t="e">
        <f t="shared" si="34"/>
        <v>#REF!</v>
      </c>
      <c r="P58" s="238" t="e">
        <f t="shared" si="34"/>
        <v>#REF!</v>
      </c>
      <c r="Q58" s="255" t="e">
        <f t="shared" si="34"/>
        <v>#REF!</v>
      </c>
      <c r="R58" s="238" t="e">
        <f t="shared" si="34"/>
        <v>#REF!</v>
      </c>
      <c r="S58" s="238" t="e">
        <f t="shared" si="34"/>
        <v>#REF!</v>
      </c>
      <c r="T58" s="238" t="e">
        <f t="shared" si="34"/>
        <v>#REF!</v>
      </c>
      <c r="U58" s="255">
        <f t="shared" si="34"/>
        <v>108918</v>
      </c>
      <c r="V58" s="238">
        <v>98022</v>
      </c>
      <c r="W58" s="238">
        <v>123626</v>
      </c>
      <c r="X58" s="238">
        <v>79190</v>
      </c>
      <c r="Y58" s="255">
        <v>87934</v>
      </c>
      <c r="Z58" s="248">
        <v>72784</v>
      </c>
      <c r="AA58" s="238">
        <v>57907</v>
      </c>
      <c r="AB58" s="238">
        <v>80775</v>
      </c>
      <c r="AC58" s="238">
        <v>108898</v>
      </c>
      <c r="AD58" s="160">
        <v>104437</v>
      </c>
      <c r="AE58" s="238">
        <v>125130</v>
      </c>
      <c r="AF58" s="238">
        <v>117358</v>
      </c>
      <c r="AG58" s="248">
        <v>162141</v>
      </c>
      <c r="AH58" s="159">
        <v>153624</v>
      </c>
      <c r="AI58" s="146">
        <v>134705</v>
      </c>
      <c r="AJ58" s="146">
        <v>108408</v>
      </c>
      <c r="AK58" s="155">
        <v>133250</v>
      </c>
      <c r="AL58" s="47"/>
      <c r="AM58" s="238" t="e">
        <f>SUM(K58:M58)</f>
        <v>#REF!</v>
      </c>
      <c r="AN58" s="238" t="e">
        <f>SUM(O58:Q58)</f>
        <v>#REF!</v>
      </c>
      <c r="AO58" s="249" t="e">
        <f>AR58-AS58</f>
        <v>#REF!</v>
      </c>
      <c r="AP58" s="250" t="e">
        <f>IF(OR((AO58/AS58)&gt;3,(AO58/AS58)&lt;-3),"n.m.",(AO58/AS58))</f>
        <v>#REF!</v>
      </c>
      <c r="AQ58" s="44"/>
      <c r="AR58" s="492" t="e">
        <f>SUM(J58:M58)</f>
        <v>#REF!</v>
      </c>
      <c r="AS58" s="121" t="e">
        <f>SUM(N58:Q58)</f>
        <v>#REF!</v>
      </c>
      <c r="AT58" s="121" t="e">
        <f>SUM(R58:U58)</f>
        <v>#REF!</v>
      </c>
      <c r="AU58" s="121">
        <v>388772</v>
      </c>
      <c r="AV58" s="121">
        <v>320364</v>
      </c>
      <c r="AW58" s="287">
        <v>509066</v>
      </c>
      <c r="AX58" s="287">
        <v>530492</v>
      </c>
      <c r="AY58" s="287">
        <f>AY16</f>
        <v>437554</v>
      </c>
      <c r="AZ58" s="287">
        <f>AZ16</f>
        <v>316688</v>
      </c>
      <c r="BA58" s="227">
        <v>317668</v>
      </c>
      <c r="BB58" s="108"/>
      <c r="BC58" s="94"/>
      <c r="BG58" s="3"/>
    </row>
    <row r="59" spans="1:59" ht="12.75" customHeight="1" x14ac:dyDescent="0.2">
      <c r="A59" s="44"/>
      <c r="B59" s="44" t="s">
        <v>82</v>
      </c>
      <c r="C59" s="45">
        <f>I59-M59</f>
        <v>-14408</v>
      </c>
      <c r="D59" s="39">
        <f>IF(OR((C59/M59)&gt;3,(C59/M59)&lt;-3),"n.m.",(C59/M59))</f>
        <v>-0.18294943748888945</v>
      </c>
      <c r="E59" s="359"/>
      <c r="F59" s="267">
        <f>+F35-F30-F31</f>
        <v>0</v>
      </c>
      <c r="G59" s="267">
        <f>+G35-G30-G31</f>
        <v>0</v>
      </c>
      <c r="H59" s="267">
        <f>+H35-H30-H31</f>
        <v>0</v>
      </c>
      <c r="I59" s="500">
        <f>+I35-I30-I31-930</f>
        <v>64346</v>
      </c>
      <c r="J59" s="267">
        <f>+J35-J30-J31-930</f>
        <v>88463</v>
      </c>
      <c r="K59" s="267">
        <f>+K35-K30-K31-930</f>
        <v>96572</v>
      </c>
      <c r="L59" s="267">
        <f>+L35-L30-L31-930</f>
        <v>79613</v>
      </c>
      <c r="M59" s="500">
        <f>+M35-930</f>
        <v>78754</v>
      </c>
      <c r="N59" s="267">
        <f>N35-N30-930</f>
        <v>112287</v>
      </c>
      <c r="O59" s="267">
        <f>O35-O31-930-O30</f>
        <v>93171</v>
      </c>
      <c r="P59" s="267">
        <f>P35-P31-930</f>
        <v>87147</v>
      </c>
      <c r="Q59" s="255">
        <f>Q35-930</f>
        <v>103084</v>
      </c>
      <c r="R59" s="267">
        <f>R35-R31-930</f>
        <v>138302</v>
      </c>
      <c r="S59" s="267">
        <f>S35-S31-930</f>
        <v>141951</v>
      </c>
      <c r="T59" s="267">
        <f>T35-T31-1827</f>
        <v>95491</v>
      </c>
      <c r="U59" s="255">
        <f>U35-U31-1439</f>
        <v>93041</v>
      </c>
      <c r="V59" s="267">
        <v>92777</v>
      </c>
      <c r="W59" s="267">
        <v>106520</v>
      </c>
      <c r="X59" s="267">
        <v>75672</v>
      </c>
      <c r="Y59" s="255">
        <v>78767</v>
      </c>
      <c r="Z59" s="267">
        <v>65881</v>
      </c>
      <c r="AA59" s="267">
        <v>72055</v>
      </c>
      <c r="AB59" s="267">
        <v>76728</v>
      </c>
      <c r="AC59" s="255">
        <v>96729</v>
      </c>
      <c r="AD59" s="142">
        <v>87577</v>
      </c>
      <c r="AE59" s="142">
        <v>104907</v>
      </c>
      <c r="AF59" s="142">
        <v>95426</v>
      </c>
      <c r="AG59" s="142">
        <v>125313</v>
      </c>
      <c r="AH59" s="106">
        <v>118739</v>
      </c>
      <c r="AI59" s="146">
        <v>106957</v>
      </c>
      <c r="AJ59" s="146">
        <v>92702</v>
      </c>
      <c r="AK59" s="146">
        <v>112876</v>
      </c>
      <c r="AL59" s="47"/>
      <c r="AM59" s="499">
        <f>SUM(K59:M59)</f>
        <v>254939</v>
      </c>
      <c r="AN59" s="238">
        <f>SUM(O59:Q59)</f>
        <v>283402</v>
      </c>
      <c r="AO59" s="99">
        <f>AR59-AS59</f>
        <v>-52287</v>
      </c>
      <c r="AP59" s="39">
        <f>IF(OR((AO59/AS59)&gt;3,(AO59/AS59)&lt;-3),"n.m.",(AO59/AS59))</f>
        <v>-0.13214165670513964</v>
      </c>
      <c r="AQ59" s="44"/>
      <c r="AR59" s="492">
        <f>SUM(J59:M59)</f>
        <v>343402</v>
      </c>
      <c r="AS59" s="121">
        <f>SUM(N59:Q59)</f>
        <v>395689</v>
      </c>
      <c r="AT59" s="121">
        <f>SUM(R59:U59)</f>
        <v>468785</v>
      </c>
      <c r="AU59" s="121">
        <v>353736</v>
      </c>
      <c r="AV59" s="121">
        <v>311393</v>
      </c>
      <c r="AW59" s="106">
        <v>413223</v>
      </c>
      <c r="AX59" s="106">
        <v>431274</v>
      </c>
      <c r="AY59" s="37">
        <v>363542</v>
      </c>
      <c r="AZ59" s="37">
        <v>274358</v>
      </c>
      <c r="BA59" s="37">
        <v>271025</v>
      </c>
      <c r="BB59" s="108"/>
      <c r="BC59" s="94"/>
      <c r="BG59" s="3"/>
    </row>
    <row r="60" spans="1:59" x14ac:dyDescent="0.2">
      <c r="A60" s="44"/>
      <c r="B60" s="501" t="s">
        <v>74</v>
      </c>
      <c r="C60" s="100" t="e">
        <f>I60-M60</f>
        <v>#REF!</v>
      </c>
      <c r="D60" s="101" t="e">
        <f>IF(OR((C60/M60)&gt;3,(C60/M60)&lt;-3),"n.m.",(C60/M60))</f>
        <v>#REF!</v>
      </c>
      <c r="E60" s="359"/>
      <c r="F60" s="273" t="e">
        <f t="shared" ref="F60:M60" si="35">+F58-F59</f>
        <v>#REF!</v>
      </c>
      <c r="G60" s="273" t="e">
        <f t="shared" si="35"/>
        <v>#REF!</v>
      </c>
      <c r="H60" s="273" t="e">
        <f t="shared" si="35"/>
        <v>#REF!</v>
      </c>
      <c r="I60" s="257" t="e">
        <f t="shared" si="35"/>
        <v>#REF!</v>
      </c>
      <c r="J60" s="273" t="e">
        <f t="shared" si="35"/>
        <v>#REF!</v>
      </c>
      <c r="K60" s="273" t="e">
        <f t="shared" si="35"/>
        <v>#REF!</v>
      </c>
      <c r="L60" s="273" t="e">
        <f t="shared" si="35"/>
        <v>#REF!</v>
      </c>
      <c r="M60" s="257" t="e">
        <f t="shared" si="35"/>
        <v>#REF!</v>
      </c>
      <c r="N60" s="273" t="e">
        <f t="shared" ref="N60:U60" si="36">N58-N59</f>
        <v>#REF!</v>
      </c>
      <c r="O60" s="273" t="e">
        <f>O58-O59</f>
        <v>#REF!</v>
      </c>
      <c r="P60" s="273" t="e">
        <f>P58-P59</f>
        <v>#REF!</v>
      </c>
      <c r="Q60" s="257" t="e">
        <f t="shared" si="36"/>
        <v>#REF!</v>
      </c>
      <c r="R60" s="273" t="e">
        <f t="shared" si="36"/>
        <v>#REF!</v>
      </c>
      <c r="S60" s="273" t="e">
        <f t="shared" si="36"/>
        <v>#REF!</v>
      </c>
      <c r="T60" s="273" t="e">
        <f t="shared" si="36"/>
        <v>#REF!</v>
      </c>
      <c r="U60" s="257">
        <f t="shared" si="36"/>
        <v>15877</v>
      </c>
      <c r="V60" s="273">
        <v>5245</v>
      </c>
      <c r="W60" s="273">
        <v>17106</v>
      </c>
      <c r="X60" s="273">
        <v>3518</v>
      </c>
      <c r="Y60" s="257">
        <v>9167</v>
      </c>
      <c r="Z60" s="273">
        <v>6903</v>
      </c>
      <c r="AA60" s="273">
        <v>-14148</v>
      </c>
      <c r="AB60" s="273">
        <v>4047</v>
      </c>
      <c r="AC60" s="273">
        <v>12169</v>
      </c>
      <c r="AD60" s="280">
        <v>16860</v>
      </c>
      <c r="AE60" s="273">
        <v>20223</v>
      </c>
      <c r="AF60" s="273">
        <v>21932</v>
      </c>
      <c r="AG60" s="273">
        <v>36828</v>
      </c>
      <c r="AH60" s="280">
        <v>34885</v>
      </c>
      <c r="AI60" s="149">
        <v>27748</v>
      </c>
      <c r="AJ60" s="149">
        <v>15706</v>
      </c>
      <c r="AK60" s="149">
        <v>20374</v>
      </c>
      <c r="AL60" s="47"/>
      <c r="AM60" s="158" t="e">
        <f>AM58-AM59</f>
        <v>#REF!</v>
      </c>
      <c r="AN60" s="246" t="e">
        <f>AN58-AN59</f>
        <v>#REF!</v>
      </c>
      <c r="AO60" s="251" t="e">
        <f>AR60-AS60</f>
        <v>#REF!</v>
      </c>
      <c r="AP60" s="325" t="e">
        <f>IF(OR((AO60/AS60)&gt;3,(AO60/AS60)&lt;-3),"n.m.",(AO60/AS60))</f>
        <v>#REF!</v>
      </c>
      <c r="AQ60" s="44"/>
      <c r="AR60" s="131" t="e">
        <f>SUM(J60:M60)</f>
        <v>#REF!</v>
      </c>
      <c r="AS60" s="131" t="e">
        <f>AS58-AS59</f>
        <v>#REF!</v>
      </c>
      <c r="AT60" s="131" t="e">
        <f>SUM(R60:U60)</f>
        <v>#REF!</v>
      </c>
      <c r="AU60" s="131">
        <v>35036</v>
      </c>
      <c r="AV60" s="131">
        <v>8971</v>
      </c>
      <c r="AW60" s="258">
        <v>95843</v>
      </c>
      <c r="AX60" s="258">
        <v>99218</v>
      </c>
      <c r="AY60" s="258">
        <f>AY58-AY59</f>
        <v>74012</v>
      </c>
      <c r="AZ60" s="258">
        <f>AZ58-AZ59</f>
        <v>42330</v>
      </c>
      <c r="BA60" s="105">
        <v>46643</v>
      </c>
      <c r="BB60" s="108"/>
      <c r="BC60" s="94"/>
      <c r="BG60" s="3"/>
    </row>
    <row r="61" spans="1:59" ht="12.75" customHeight="1" x14ac:dyDescent="0.2">
      <c r="A61" s="44"/>
      <c r="B61" s="44"/>
      <c r="C61" s="99"/>
      <c r="D61" s="9"/>
      <c r="E61" s="9"/>
      <c r="F61" s="9"/>
      <c r="G61" s="9"/>
      <c r="H61" s="9"/>
      <c r="I61" s="488"/>
      <c r="J61" s="9"/>
      <c r="K61" s="9"/>
      <c r="L61" s="9"/>
      <c r="M61" s="488"/>
      <c r="N61" s="9"/>
      <c r="O61" s="9"/>
      <c r="P61" s="9"/>
      <c r="Q61" s="94"/>
      <c r="R61" s="9"/>
      <c r="S61" s="9"/>
      <c r="T61" s="9"/>
      <c r="U61" s="94"/>
      <c r="V61" s="9"/>
      <c r="W61" s="9"/>
      <c r="X61" s="9"/>
      <c r="Y61" s="94"/>
      <c r="Z61" s="9"/>
      <c r="AA61" s="9"/>
      <c r="AB61" s="9"/>
      <c r="AC61" s="94"/>
      <c r="AD61" s="44"/>
      <c r="AE61" s="44"/>
      <c r="AF61" s="44"/>
      <c r="AG61" s="44"/>
      <c r="AH61" s="44"/>
      <c r="AI61" s="44"/>
      <c r="AJ61" s="44"/>
      <c r="AK61" s="44"/>
      <c r="AL61" s="94"/>
      <c r="AM61" s="94"/>
      <c r="AN61" s="94"/>
      <c r="AO61" s="99"/>
      <c r="AP61" s="9"/>
      <c r="AQ61" s="94"/>
      <c r="AR61" s="488"/>
      <c r="AS61" s="94"/>
      <c r="AT61" s="94"/>
      <c r="AU61" s="94"/>
      <c r="AV61" s="94"/>
      <c r="AW61" s="44"/>
      <c r="AX61" s="44"/>
      <c r="AY61" s="219"/>
      <c r="AZ61" s="219"/>
      <c r="BA61" s="219"/>
      <c r="BB61" s="94"/>
      <c r="BC61" s="94"/>
      <c r="BG61" s="3"/>
    </row>
    <row r="62" spans="1:59" ht="12.75" customHeight="1" x14ac:dyDescent="0.2">
      <c r="A62" s="44"/>
      <c r="B62" s="91" t="s">
        <v>77</v>
      </c>
      <c r="C62" s="138" t="e">
        <f>(I62-M62)*100</f>
        <v>#REF!</v>
      </c>
      <c r="D62" s="9"/>
      <c r="E62" s="9"/>
      <c r="F62" s="9" t="e">
        <f t="shared" ref="F62:K62" si="37">(F59-F20-F21)/F16</f>
        <v>#REF!</v>
      </c>
      <c r="G62" s="9" t="e">
        <f t="shared" si="37"/>
        <v>#REF!</v>
      </c>
      <c r="H62" s="9" t="e">
        <f t="shared" si="37"/>
        <v>#REF!</v>
      </c>
      <c r="I62" s="9" t="e">
        <f t="shared" si="37"/>
        <v>#REF!</v>
      </c>
      <c r="J62" s="9" t="e">
        <f t="shared" si="37"/>
        <v>#REF!</v>
      </c>
      <c r="K62" s="9" t="e">
        <f t="shared" si="37"/>
        <v>#REF!</v>
      </c>
      <c r="L62" s="9" t="e">
        <f t="shared" ref="L62:U62" si="38">(L59-L20-L21)/L16</f>
        <v>#REF!</v>
      </c>
      <c r="M62" s="9" t="e">
        <f t="shared" si="38"/>
        <v>#REF!</v>
      </c>
      <c r="N62" s="9" t="e">
        <f t="shared" si="38"/>
        <v>#REF!</v>
      </c>
      <c r="O62" s="9" t="e">
        <f t="shared" si="38"/>
        <v>#REF!</v>
      </c>
      <c r="P62" s="9" t="e">
        <f t="shared" si="38"/>
        <v>#REF!</v>
      </c>
      <c r="Q62" s="9" t="e">
        <f t="shared" si="38"/>
        <v>#REF!</v>
      </c>
      <c r="R62" s="9" t="e">
        <f t="shared" si="38"/>
        <v>#REF!</v>
      </c>
      <c r="S62" s="9" t="e">
        <f t="shared" si="38"/>
        <v>#REF!</v>
      </c>
      <c r="T62" s="9" t="e">
        <f t="shared" si="38"/>
        <v>#REF!</v>
      </c>
      <c r="U62" s="9">
        <f t="shared" si="38"/>
        <v>0.27150700527001964</v>
      </c>
      <c r="V62" s="9">
        <v>0.31398053498194284</v>
      </c>
      <c r="W62" s="9">
        <v>0.23753094009350784</v>
      </c>
      <c r="X62" s="9">
        <v>0.31925748200530368</v>
      </c>
      <c r="Y62" s="9">
        <v>0.27244296859007894</v>
      </c>
      <c r="Z62" s="9">
        <v>0.33500494614200921</v>
      </c>
      <c r="AA62" s="9">
        <v>0.58068586441732639</v>
      </c>
      <c r="AB62" s="9">
        <v>0.36575851393188852</v>
      </c>
      <c r="AC62" s="9">
        <v>0.29228126894322087</v>
      </c>
      <c r="AD62" s="32">
        <v>0.31506560674264916</v>
      </c>
      <c r="AE62" s="32">
        <v>0.28772521622356156</v>
      </c>
      <c r="AF62" s="32">
        <v>0.27809848646344065</v>
      </c>
      <c r="AG62" s="32">
        <v>0.21399999999999997</v>
      </c>
      <c r="AH62" s="32">
        <v>0.19700000000000006</v>
      </c>
      <c r="AI62" s="32">
        <v>0.22300000000000009</v>
      </c>
      <c r="AJ62" s="32">
        <v>0.28700000000000003</v>
      </c>
      <c r="AK62" s="32">
        <v>0.28100000000000003</v>
      </c>
      <c r="AL62" s="94"/>
      <c r="AM62" s="9" t="e">
        <f>(AM59-AM20-AM21)/AM16</f>
        <v>#REF!</v>
      </c>
      <c r="AN62" s="9" t="e">
        <f>(AN59-AN20-AN21)/AN16</f>
        <v>#REF!</v>
      </c>
      <c r="AO62" s="107" t="e">
        <f>(AR62-AS62)*100</f>
        <v>#REF!</v>
      </c>
      <c r="AP62" s="9"/>
      <c r="AQ62" s="94"/>
      <c r="AR62" s="9" t="e">
        <f>(AR59-AR20-AR21)/AR16</f>
        <v>#REF!</v>
      </c>
      <c r="AS62" s="9" t="e">
        <f>(AS59-AS20-AS21)/AS16</f>
        <v>#REF!</v>
      </c>
      <c r="AT62" s="9">
        <f>(AT59-AT20-AT21)/AT16</f>
        <v>0.22322222147969448</v>
      </c>
      <c r="AU62" s="32">
        <v>0.28134999434115626</v>
      </c>
      <c r="AV62" s="32">
        <v>0.37250127979423409</v>
      </c>
      <c r="AW62" s="32">
        <v>0.26781362993240054</v>
      </c>
      <c r="AX62" s="32">
        <v>0.24299999999999999</v>
      </c>
      <c r="AY62" s="225">
        <v>0.24</v>
      </c>
      <c r="AZ62" s="225">
        <v>0.26200000000000001</v>
      </c>
      <c r="BA62" s="225">
        <v>0.23499999999999999</v>
      </c>
      <c r="BB62" s="94"/>
      <c r="BC62" s="94"/>
      <c r="BG62" s="3"/>
    </row>
    <row r="63" spans="1:59" ht="12.75" customHeight="1" x14ac:dyDescent="0.2">
      <c r="A63" s="44"/>
      <c r="B63" s="91" t="s">
        <v>78</v>
      </c>
      <c r="C63" s="138" t="e">
        <f>(I63-M63)*100</f>
        <v>#REF!</v>
      </c>
      <c r="D63" s="9"/>
      <c r="E63" s="9"/>
      <c r="F63" s="9" t="e">
        <f t="shared" ref="F63:K63" si="39">F59/F58</f>
        <v>#REF!</v>
      </c>
      <c r="G63" s="9" t="e">
        <f t="shared" si="39"/>
        <v>#REF!</v>
      </c>
      <c r="H63" s="9" t="e">
        <f t="shared" si="39"/>
        <v>#REF!</v>
      </c>
      <c r="I63" s="9" t="e">
        <f t="shared" si="39"/>
        <v>#REF!</v>
      </c>
      <c r="J63" s="9" t="e">
        <f t="shared" si="39"/>
        <v>#REF!</v>
      </c>
      <c r="K63" s="9" t="e">
        <f t="shared" si="39"/>
        <v>#REF!</v>
      </c>
      <c r="L63" s="9" t="e">
        <f t="shared" ref="L63:Q63" si="40">L59/L58</f>
        <v>#REF!</v>
      </c>
      <c r="M63" s="9" t="e">
        <f t="shared" si="40"/>
        <v>#REF!</v>
      </c>
      <c r="N63" s="9" t="e">
        <f t="shared" si="40"/>
        <v>#REF!</v>
      </c>
      <c r="O63" s="9" t="e">
        <f t="shared" si="40"/>
        <v>#REF!</v>
      </c>
      <c r="P63" s="9" t="e">
        <f t="shared" si="40"/>
        <v>#REF!</v>
      </c>
      <c r="Q63" s="9" t="e">
        <f t="shared" si="40"/>
        <v>#REF!</v>
      </c>
      <c r="R63" s="9" t="e">
        <f>R59/R58</f>
        <v>#REF!</v>
      </c>
      <c r="S63" s="9" t="e">
        <f>S59/S58</f>
        <v>#REF!</v>
      </c>
      <c r="T63" s="9" t="e">
        <f>T59/T58</f>
        <v>#REF!</v>
      </c>
      <c r="U63" s="9">
        <f>U59/U58</f>
        <v>0.85422978754659473</v>
      </c>
      <c r="V63" s="9">
        <v>0.94649160392564935</v>
      </c>
      <c r="W63" s="9">
        <v>0.86163104848494654</v>
      </c>
      <c r="X63" s="9">
        <v>0.95557519888874853</v>
      </c>
      <c r="Y63" s="9">
        <v>0.89475135897377578</v>
      </c>
      <c r="Z63" s="9">
        <v>0.90515772697296104</v>
      </c>
      <c r="AA63" s="9">
        <v>1.2454627164932417</v>
      </c>
      <c r="AB63" s="9">
        <v>0.95019195046439631</v>
      </c>
      <c r="AC63" s="9">
        <v>0.88841639265967409</v>
      </c>
      <c r="AD63" s="32">
        <v>0.8387798103629921</v>
      </c>
      <c r="AE63" s="32">
        <v>0.83857172547201486</v>
      </c>
      <c r="AF63" s="32">
        <v>0.81369430824984013</v>
      </c>
      <c r="AG63" s="32">
        <v>0.77300000000000002</v>
      </c>
      <c r="AH63" s="32">
        <v>0.77300000000000002</v>
      </c>
      <c r="AI63" s="32">
        <v>0.79400000000000004</v>
      </c>
      <c r="AJ63" s="32">
        <v>0.85499999999999998</v>
      </c>
      <c r="AK63" s="32">
        <v>0.84699999999999998</v>
      </c>
      <c r="AL63" s="94"/>
      <c r="AM63" s="9" t="e">
        <f>AM59/AM58</f>
        <v>#REF!</v>
      </c>
      <c r="AN63" s="9" t="e">
        <f>AN59/AN58</f>
        <v>#REF!</v>
      </c>
      <c r="AO63" s="107" t="e">
        <f>(AR63-AS63)*100</f>
        <v>#REF!</v>
      </c>
      <c r="AP63" s="9"/>
      <c r="AQ63" s="94"/>
      <c r="AR63" s="9" t="e">
        <f>AR59/AR58</f>
        <v>#REF!</v>
      </c>
      <c r="AS63" s="9" t="e">
        <f>AS59/AS58</f>
        <v>#REF!</v>
      </c>
      <c r="AT63" s="9" t="e">
        <f>AT59/AT58</f>
        <v>#REF!</v>
      </c>
      <c r="AU63" s="32">
        <v>0.90888034117683369</v>
      </c>
      <c r="AV63" s="32">
        <v>0.9719974778689241</v>
      </c>
      <c r="AW63" s="32">
        <v>0.81202444584184874</v>
      </c>
      <c r="AX63" s="32">
        <v>0.81399999999999995</v>
      </c>
      <c r="AY63" s="225">
        <v>0.83099999999999996</v>
      </c>
      <c r="AZ63" s="225">
        <v>0.86599999999999999</v>
      </c>
      <c r="BA63" s="225">
        <v>0.85299999999999998</v>
      </c>
      <c r="BB63" s="94"/>
      <c r="BC63" s="94"/>
      <c r="BG63" s="3"/>
    </row>
    <row r="64" spans="1:59" ht="12.75" customHeight="1" x14ac:dyDescent="0.2">
      <c r="A64" s="44"/>
      <c r="B64" s="91" t="s">
        <v>79</v>
      </c>
      <c r="C64" s="138" t="e">
        <f>(I64-M64)*100</f>
        <v>#REF!</v>
      </c>
      <c r="D64" s="9"/>
      <c r="E64" s="9"/>
      <c r="F64" s="9" t="e">
        <f t="shared" ref="F64:K64" si="41">F60/F58</f>
        <v>#REF!</v>
      </c>
      <c r="G64" s="9" t="e">
        <f t="shared" si="41"/>
        <v>#REF!</v>
      </c>
      <c r="H64" s="9" t="e">
        <f t="shared" si="41"/>
        <v>#REF!</v>
      </c>
      <c r="I64" s="9" t="e">
        <f t="shared" si="41"/>
        <v>#REF!</v>
      </c>
      <c r="J64" s="9" t="e">
        <f t="shared" si="41"/>
        <v>#REF!</v>
      </c>
      <c r="K64" s="9" t="e">
        <f t="shared" si="41"/>
        <v>#REF!</v>
      </c>
      <c r="L64" s="9" t="e">
        <f t="shared" ref="L64:Q64" si="42">L60/L58</f>
        <v>#REF!</v>
      </c>
      <c r="M64" s="9" t="e">
        <f t="shared" si="42"/>
        <v>#REF!</v>
      </c>
      <c r="N64" s="9" t="e">
        <f t="shared" si="42"/>
        <v>#REF!</v>
      </c>
      <c r="O64" s="9" t="e">
        <f t="shared" si="42"/>
        <v>#REF!</v>
      </c>
      <c r="P64" s="9" t="e">
        <f t="shared" si="42"/>
        <v>#REF!</v>
      </c>
      <c r="Q64" s="9" t="e">
        <f t="shared" si="42"/>
        <v>#REF!</v>
      </c>
      <c r="R64" s="9" t="e">
        <f>R60/R58</f>
        <v>#REF!</v>
      </c>
      <c r="S64" s="9" t="e">
        <f>S60/S58</f>
        <v>#REF!</v>
      </c>
      <c r="T64" s="9" t="e">
        <f>T60/T58</f>
        <v>#REF!</v>
      </c>
      <c r="U64" s="9">
        <f>U60/U58</f>
        <v>0.14577021245340532</v>
      </c>
      <c r="V64" s="9">
        <v>5.3508396074350657E-2</v>
      </c>
      <c r="W64" s="9">
        <v>0.13836895151505346</v>
      </c>
      <c r="X64" s="9">
        <v>4.4424801111251418E-2</v>
      </c>
      <c r="Y64" s="9">
        <v>0.10424864102622422</v>
      </c>
      <c r="Z64" s="9">
        <v>9.4842273027038904E-2</v>
      </c>
      <c r="AA64" s="9">
        <v>-0.24546271649324161</v>
      </c>
      <c r="AB64" s="9">
        <v>4.9808049535603714E-2</v>
      </c>
      <c r="AC64" s="9">
        <v>0.11158360734032587</v>
      </c>
      <c r="AD64" s="32">
        <v>0.16122018963700796</v>
      </c>
      <c r="AE64" s="32">
        <v>0.16142827452798517</v>
      </c>
      <c r="AF64" s="32">
        <v>0.18630569175015987</v>
      </c>
      <c r="AG64" s="32">
        <v>0.22699999999999998</v>
      </c>
      <c r="AH64" s="32">
        <v>0.22699999999999998</v>
      </c>
      <c r="AI64" s="32">
        <v>0.20599999999999996</v>
      </c>
      <c r="AJ64" s="32">
        <v>0.14499999999999999</v>
      </c>
      <c r="AK64" s="32">
        <v>0.15300000000000002</v>
      </c>
      <c r="AL64" s="94"/>
      <c r="AM64" s="9" t="e">
        <f>AM60/AM58</f>
        <v>#REF!</v>
      </c>
      <c r="AN64" s="9" t="e">
        <f>AN60/AN58</f>
        <v>#REF!</v>
      </c>
      <c r="AO64" s="107" t="e">
        <f>(AR64-AS64)*100</f>
        <v>#REF!</v>
      </c>
      <c r="AP64" s="9"/>
      <c r="AQ64" s="94"/>
      <c r="AR64" s="9" t="e">
        <f>AR60/AR58</f>
        <v>#REF!</v>
      </c>
      <c r="AS64" s="9" t="e">
        <f>AS60/AS58</f>
        <v>#REF!</v>
      </c>
      <c r="AT64" s="9" t="e">
        <f>AT60/AT58</f>
        <v>#REF!</v>
      </c>
      <c r="AU64" s="32">
        <v>9.0119658823166277E-2</v>
      </c>
      <c r="AV64" s="32">
        <v>2.8002522131075902E-2</v>
      </c>
      <c r="AW64" s="32">
        <v>0.18797555415815123</v>
      </c>
      <c r="AX64" s="32">
        <v>0.18600000000000005</v>
      </c>
      <c r="AY64" s="225">
        <v>0.16900000000000004</v>
      </c>
      <c r="AZ64" s="225">
        <v>0.13400000000000001</v>
      </c>
      <c r="BA64" s="225">
        <v>0.14700000000000002</v>
      </c>
      <c r="BB64" s="94"/>
      <c r="BC64" s="94"/>
    </row>
    <row r="65" spans="1:55" ht="12.75" customHeight="1" x14ac:dyDescent="0.2">
      <c r="A65" s="44"/>
      <c r="B65" s="91"/>
      <c r="C65" s="138"/>
      <c r="D65" s="9"/>
      <c r="E65" s="9"/>
      <c r="F65" s="9"/>
      <c r="G65" s="9"/>
      <c r="H65" s="9"/>
      <c r="I65" s="9"/>
      <c r="J65" s="9"/>
      <c r="K65" s="9"/>
      <c r="L65" s="9"/>
      <c r="M65" s="9"/>
      <c r="N65" s="9"/>
      <c r="O65" s="9"/>
      <c r="P65" s="9"/>
      <c r="Q65" s="9"/>
      <c r="R65" s="9"/>
      <c r="S65" s="9"/>
      <c r="T65" s="9"/>
      <c r="U65" s="9"/>
      <c r="V65" s="9"/>
      <c r="W65" s="9"/>
      <c r="X65" s="9"/>
      <c r="Y65" s="9"/>
      <c r="Z65" s="9"/>
      <c r="AA65" s="9"/>
      <c r="AB65" s="9"/>
      <c r="AC65" s="9"/>
      <c r="AD65" s="32"/>
      <c r="AE65" s="32"/>
      <c r="AF65" s="32"/>
      <c r="AG65" s="32"/>
      <c r="AH65" s="32"/>
      <c r="AI65" s="32"/>
      <c r="AJ65" s="32"/>
      <c r="AK65" s="32"/>
      <c r="AL65" s="94"/>
      <c r="AM65" s="94"/>
      <c r="AN65" s="94"/>
      <c r="AO65" s="138"/>
      <c r="AP65" s="9"/>
      <c r="AQ65" s="94"/>
      <c r="AR65" s="32"/>
      <c r="AS65" s="32"/>
      <c r="AT65" s="32"/>
      <c r="AU65" s="32"/>
      <c r="AV65" s="32"/>
      <c r="AW65" s="32"/>
      <c r="AX65" s="32"/>
      <c r="AY65" s="225"/>
      <c r="AZ65" s="225"/>
      <c r="BA65" s="225"/>
      <c r="BB65" s="94"/>
      <c r="BC65" s="94"/>
    </row>
    <row r="66" spans="1:55" ht="12.75" customHeight="1" x14ac:dyDescent="0.2">
      <c r="A66" s="10" t="s">
        <v>190</v>
      </c>
      <c r="B66" s="91"/>
      <c r="C66" s="94"/>
      <c r="D66" s="94"/>
      <c r="E66" s="94"/>
      <c r="F66" s="488"/>
      <c r="G66" s="488"/>
      <c r="H66" s="488"/>
      <c r="I66" s="488"/>
      <c r="J66" s="488"/>
      <c r="K66" s="488"/>
      <c r="L66" s="488"/>
      <c r="M66" s="488"/>
      <c r="N66" s="94"/>
      <c r="O66" s="94"/>
      <c r="P66" s="94"/>
      <c r="Q66" s="94"/>
      <c r="R66" s="94"/>
      <c r="S66" s="94"/>
      <c r="T66" s="94"/>
      <c r="U66" s="94"/>
      <c r="V66" s="94"/>
      <c r="W66" s="94"/>
      <c r="X66" s="94"/>
      <c r="Y66" s="94"/>
      <c r="Z66" s="268"/>
      <c r="AA66" s="94"/>
      <c r="AB66" s="94"/>
      <c r="AC66" s="94"/>
      <c r="AD66" s="94"/>
      <c r="AE66" s="94"/>
      <c r="AF66" s="94"/>
      <c r="AG66" s="6"/>
      <c r="AH66" s="94"/>
      <c r="AI66" s="6"/>
      <c r="AJ66" s="6"/>
      <c r="AK66" s="94"/>
      <c r="AL66" s="94"/>
      <c r="AM66" s="94"/>
      <c r="AN66" s="94"/>
      <c r="AO66" s="94"/>
      <c r="AP66" s="94"/>
      <c r="AQ66" s="94"/>
      <c r="AR66" s="488"/>
      <c r="AS66" s="94"/>
      <c r="AT66" s="94"/>
      <c r="AU66" s="94"/>
      <c r="AV66" s="94"/>
      <c r="AW66" s="94"/>
      <c r="AX66" s="94"/>
      <c r="AY66" s="28"/>
      <c r="AZ66" s="225"/>
      <c r="BA66" s="225"/>
      <c r="BB66" s="94"/>
      <c r="BC66" s="94"/>
    </row>
    <row r="67" spans="1:55" ht="12.75" customHeight="1" x14ac:dyDescent="0.2">
      <c r="C67" s="2493" t="s">
        <v>327</v>
      </c>
      <c r="D67" s="2494"/>
      <c r="E67" s="187"/>
      <c r="F67" s="276"/>
      <c r="G67" s="276"/>
      <c r="H67" s="276"/>
      <c r="I67" s="17"/>
      <c r="J67" s="276"/>
      <c r="K67" s="276"/>
      <c r="L67" s="276"/>
      <c r="M67" s="17"/>
      <c r="N67" s="15"/>
      <c r="O67" s="16"/>
      <c r="P67" s="276"/>
      <c r="Q67" s="17"/>
      <c r="R67" s="15"/>
      <c r="S67" s="16"/>
      <c r="T67" s="276"/>
      <c r="U67" s="17"/>
      <c r="V67" s="486"/>
      <c r="W67" s="16"/>
      <c r="X67" s="2"/>
      <c r="Y67" s="17"/>
      <c r="Z67" s="16"/>
      <c r="AA67" s="486"/>
      <c r="AB67" s="276"/>
      <c r="AC67" s="17"/>
      <c r="AD67" s="16"/>
      <c r="AE67" s="16"/>
      <c r="AF67" s="16"/>
      <c r="AG67" s="16"/>
      <c r="AH67" s="20"/>
      <c r="AI67" s="17"/>
      <c r="AJ67" s="17"/>
      <c r="AK67" s="17"/>
      <c r="AL67" s="22"/>
      <c r="AM67" s="450" t="s">
        <v>311</v>
      </c>
      <c r="AN67" s="438"/>
      <c r="AO67" s="438" t="s">
        <v>296</v>
      </c>
      <c r="AP67" s="439"/>
      <c r="AQ67" s="94"/>
      <c r="AR67" s="46"/>
      <c r="AS67" s="46"/>
      <c r="AT67" s="46"/>
      <c r="AU67" s="46"/>
      <c r="AV67" s="46"/>
      <c r="AW67" s="127"/>
      <c r="AX67" s="127"/>
      <c r="AY67" s="46"/>
      <c r="AZ67" s="225"/>
      <c r="BA67" s="225"/>
      <c r="BB67" s="108"/>
      <c r="BC67" s="94"/>
    </row>
    <row r="68" spans="1:55" ht="12.75" customHeight="1" x14ac:dyDescent="0.2">
      <c r="C68" s="2495" t="s">
        <v>39</v>
      </c>
      <c r="D68" s="2496"/>
      <c r="E68" s="358"/>
      <c r="F68" s="19" t="s">
        <v>330</v>
      </c>
      <c r="G68" s="19" t="s">
        <v>329</v>
      </c>
      <c r="H68" s="19" t="s">
        <v>328</v>
      </c>
      <c r="I68" s="12" t="s">
        <v>326</v>
      </c>
      <c r="J68" s="19" t="s">
        <v>282</v>
      </c>
      <c r="K68" s="19" t="s">
        <v>283</v>
      </c>
      <c r="L68" s="19" t="s">
        <v>284</v>
      </c>
      <c r="M68" s="12" t="s">
        <v>285</v>
      </c>
      <c r="N68" s="18" t="s">
        <v>220</v>
      </c>
      <c r="O68" s="19" t="s">
        <v>221</v>
      </c>
      <c r="P68" s="19" t="s">
        <v>222</v>
      </c>
      <c r="Q68" s="12" t="s">
        <v>219</v>
      </c>
      <c r="R68" s="18" t="s">
        <v>185</v>
      </c>
      <c r="S68" s="19" t="s">
        <v>186</v>
      </c>
      <c r="T68" s="19" t="s">
        <v>187</v>
      </c>
      <c r="U68" s="12" t="s">
        <v>188</v>
      </c>
      <c r="V68" s="19" t="s">
        <v>118</v>
      </c>
      <c r="W68" s="19" t="s">
        <v>117</v>
      </c>
      <c r="X68" s="19" t="s">
        <v>116</v>
      </c>
      <c r="Y68" s="12" t="s">
        <v>115</v>
      </c>
      <c r="Z68" s="19" t="s">
        <v>83</v>
      </c>
      <c r="AA68" s="19" t="s">
        <v>84</v>
      </c>
      <c r="AB68" s="19" t="s">
        <v>85</v>
      </c>
      <c r="AC68" s="12" t="s">
        <v>30</v>
      </c>
      <c r="AD68" s="19" t="s">
        <v>31</v>
      </c>
      <c r="AE68" s="19" t="s">
        <v>32</v>
      </c>
      <c r="AF68" s="19" t="s">
        <v>33</v>
      </c>
      <c r="AG68" s="19" t="s">
        <v>34</v>
      </c>
      <c r="AH68" s="21" t="s">
        <v>35</v>
      </c>
      <c r="AI68" s="12" t="s">
        <v>36</v>
      </c>
      <c r="AJ68" s="12" t="s">
        <v>37</v>
      </c>
      <c r="AK68" s="12" t="s">
        <v>38</v>
      </c>
      <c r="AL68" s="187"/>
      <c r="AM68" s="19" t="s">
        <v>283</v>
      </c>
      <c r="AN68" s="19" t="s">
        <v>221</v>
      </c>
      <c r="AO68" s="2498" t="s">
        <v>39</v>
      </c>
      <c r="AP68" s="2499"/>
      <c r="AQ68" s="94"/>
      <c r="AR68" s="18" t="s">
        <v>287</v>
      </c>
      <c r="AS68" s="18" t="s">
        <v>224</v>
      </c>
      <c r="AT68" s="18" t="s">
        <v>120</v>
      </c>
      <c r="AU68" s="18" t="s">
        <v>119</v>
      </c>
      <c r="AV68" s="18" t="s">
        <v>43</v>
      </c>
      <c r="AW68" s="21" t="s">
        <v>40</v>
      </c>
      <c r="AX68" s="21" t="s">
        <v>41</v>
      </c>
      <c r="AY68" s="21" t="s">
        <v>138</v>
      </c>
      <c r="AZ68" s="225"/>
      <c r="BA68" s="225"/>
      <c r="BB68" s="108"/>
      <c r="BC68" s="94"/>
    </row>
    <row r="69" spans="1:55" ht="12.75" customHeight="1" x14ac:dyDescent="0.2">
      <c r="A69" s="44"/>
      <c r="B69" s="6" t="s">
        <v>312</v>
      </c>
      <c r="C69" s="45">
        <f t="shared" ref="C69:C75" si="43">I69-M69</f>
        <v>-4681</v>
      </c>
      <c r="D69" s="39">
        <f t="shared" ref="D69:D75" si="44">IF(OR((C69/M69)&gt;3,(C69/M69)&lt;-3),"n.m.",(C69/M69))</f>
        <v>-0.11540927021696253</v>
      </c>
      <c r="E69" s="47"/>
      <c r="F69" s="493"/>
      <c r="G69" s="493"/>
      <c r="H69" s="493"/>
      <c r="I69" s="112">
        <v>35879</v>
      </c>
      <c r="J69" s="493">
        <v>33903</v>
      </c>
      <c r="K69" s="493">
        <v>38555</v>
      </c>
      <c r="L69" s="493">
        <v>39686</v>
      </c>
      <c r="M69" s="112">
        <v>40560</v>
      </c>
      <c r="N69" s="143">
        <v>55318</v>
      </c>
      <c r="O69" s="143">
        <v>42584</v>
      </c>
      <c r="P69" s="143">
        <v>45125</v>
      </c>
      <c r="Q69" s="112">
        <v>44915</v>
      </c>
      <c r="R69" s="143">
        <v>61873</v>
      </c>
      <c r="S69" s="143">
        <v>67349</v>
      </c>
      <c r="T69" s="143">
        <v>44815</v>
      </c>
      <c r="U69" s="112">
        <v>44827</v>
      </c>
      <c r="V69" s="143">
        <v>49348</v>
      </c>
      <c r="W69" s="143">
        <v>47003</v>
      </c>
      <c r="X69" s="143">
        <v>43321</v>
      </c>
      <c r="Y69" s="112">
        <v>42012</v>
      </c>
      <c r="Z69" s="143">
        <v>35191</v>
      </c>
      <c r="AA69" s="143">
        <v>39059</v>
      </c>
      <c r="AB69" s="112">
        <v>44316</v>
      </c>
      <c r="AC69" s="112">
        <v>54791</v>
      </c>
      <c r="AD69" s="255">
        <v>29584</v>
      </c>
      <c r="AE69" s="94"/>
      <c r="AF69" s="94"/>
      <c r="AG69" s="6"/>
      <c r="AH69" s="94"/>
      <c r="AI69" s="6"/>
      <c r="AJ69" s="6"/>
      <c r="AK69" s="94"/>
      <c r="AL69" s="47"/>
      <c r="AM69" s="238">
        <f t="shared" ref="AM69:AM74" si="45">SUM(K69:M69)</f>
        <v>118801</v>
      </c>
      <c r="AN69" s="238">
        <f t="shared" ref="AN69:AN74" si="46">SUM(O69:Q69)</f>
        <v>132624</v>
      </c>
      <c r="AO69" s="361">
        <f t="shared" ref="AO69:AO75" si="47">AR69-AS69</f>
        <v>-35238</v>
      </c>
      <c r="AP69" s="250">
        <f t="shared" ref="AP69:AP75" si="48">IF(OR((AO69/AS69)&gt;3,(AO69/AS69)&lt;-3),"n.m.",(AO69/AS69))</f>
        <v>-0.1874940141107363</v>
      </c>
      <c r="AQ69" s="94"/>
      <c r="AR69" s="492">
        <f t="shared" ref="AR69:AR74" si="49">SUM(J69:M69)</f>
        <v>152704</v>
      </c>
      <c r="AS69" s="132">
        <f t="shared" ref="AS69:AS74" si="50">SUM(N69:Q69)</f>
        <v>187942</v>
      </c>
      <c r="AT69" s="37">
        <v>218864</v>
      </c>
      <c r="AU69" s="37">
        <v>181684</v>
      </c>
      <c r="AV69" s="37">
        <v>173357</v>
      </c>
      <c r="AW69" s="37">
        <v>234389</v>
      </c>
      <c r="AX69" s="37">
        <v>245369</v>
      </c>
      <c r="AY69" s="227">
        <v>203714</v>
      </c>
      <c r="AZ69" s="225"/>
      <c r="BA69" s="225"/>
      <c r="BB69" s="108"/>
      <c r="BC69" s="94"/>
    </row>
    <row r="70" spans="1:55" ht="12.75" customHeight="1" x14ac:dyDescent="0.2">
      <c r="A70" s="44"/>
      <c r="B70" s="6" t="s">
        <v>62</v>
      </c>
      <c r="C70" s="45">
        <f t="shared" si="43"/>
        <v>-6612</v>
      </c>
      <c r="D70" s="39">
        <f t="shared" si="44"/>
        <v>-0.35377207062600319</v>
      </c>
      <c r="E70" s="47"/>
      <c r="F70" s="493"/>
      <c r="G70" s="493"/>
      <c r="H70" s="493"/>
      <c r="I70" s="112">
        <v>12078</v>
      </c>
      <c r="J70" s="493">
        <v>18076</v>
      </c>
      <c r="K70" s="493">
        <v>20205</v>
      </c>
      <c r="L70" s="493">
        <v>17189</v>
      </c>
      <c r="M70" s="112">
        <v>18690</v>
      </c>
      <c r="N70" s="143">
        <v>41150</v>
      </c>
      <c r="O70" s="143">
        <v>22843</v>
      </c>
      <c r="P70" s="143">
        <v>24217</v>
      </c>
      <c r="Q70" s="112">
        <v>46052</v>
      </c>
      <c r="R70" s="143">
        <v>75738</v>
      </c>
      <c r="S70" s="143">
        <v>91523</v>
      </c>
      <c r="T70" s="143">
        <v>41541</v>
      </c>
      <c r="U70" s="112">
        <v>41164</v>
      </c>
      <c r="V70" s="143">
        <v>34068</v>
      </c>
      <c r="W70" s="143">
        <v>56636</v>
      </c>
      <c r="X70" s="143">
        <v>22209</v>
      </c>
      <c r="Y70" s="112">
        <v>25318</v>
      </c>
      <c r="Z70" s="143">
        <v>21433</v>
      </c>
      <c r="AA70" s="143">
        <v>6245</v>
      </c>
      <c r="AB70" s="112">
        <v>17686</v>
      </c>
      <c r="AC70" s="112">
        <v>25366</v>
      </c>
      <c r="AD70" s="255">
        <v>68274</v>
      </c>
      <c r="AE70" s="94">
        <v>0</v>
      </c>
      <c r="AF70" s="94">
        <v>0</v>
      </c>
      <c r="AG70" s="6">
        <v>0</v>
      </c>
      <c r="AH70" s="94">
        <v>0</v>
      </c>
      <c r="AI70" s="6">
        <v>0</v>
      </c>
      <c r="AJ70" s="6">
        <v>0</v>
      </c>
      <c r="AK70" s="94">
        <v>0</v>
      </c>
      <c r="AL70" s="47"/>
      <c r="AM70" s="499">
        <f t="shared" si="45"/>
        <v>56084</v>
      </c>
      <c r="AN70" s="499">
        <f t="shared" si="46"/>
        <v>93112</v>
      </c>
      <c r="AO70" s="362">
        <f t="shared" si="47"/>
        <v>-60102</v>
      </c>
      <c r="AP70" s="39">
        <f t="shared" si="48"/>
        <v>-0.44764713768601688</v>
      </c>
      <c r="AQ70" s="94"/>
      <c r="AR70" s="492">
        <f t="shared" si="49"/>
        <v>74160</v>
      </c>
      <c r="AS70" s="132">
        <f t="shared" si="50"/>
        <v>134262</v>
      </c>
      <c r="AT70" s="37">
        <v>249966</v>
      </c>
      <c r="AU70" s="37">
        <v>138231</v>
      </c>
      <c r="AV70" s="37">
        <v>70730</v>
      </c>
      <c r="AW70" s="37">
        <v>170811</v>
      </c>
      <c r="AX70" s="37">
        <v>192313</v>
      </c>
      <c r="AY70" s="37">
        <f>157642-4636</f>
        <v>153006</v>
      </c>
      <c r="AZ70" s="225"/>
      <c r="BA70" s="225"/>
      <c r="BB70" s="108"/>
      <c r="BC70" s="94"/>
    </row>
    <row r="71" spans="1:55" ht="12.75" customHeight="1" x14ac:dyDescent="0.2">
      <c r="A71" s="44"/>
      <c r="B71" s="6" t="s">
        <v>203</v>
      </c>
      <c r="C71" s="45">
        <f t="shared" si="43"/>
        <v>652</v>
      </c>
      <c r="D71" s="39">
        <f t="shared" si="44"/>
        <v>0.10253184462965875</v>
      </c>
      <c r="E71" s="47"/>
      <c r="F71" s="493"/>
      <c r="G71" s="493"/>
      <c r="H71" s="493"/>
      <c r="I71" s="112">
        <v>7011</v>
      </c>
      <c r="J71" s="493">
        <v>29706</v>
      </c>
      <c r="K71" s="493">
        <v>45232</v>
      </c>
      <c r="L71" s="493">
        <v>8690</v>
      </c>
      <c r="M71" s="112">
        <v>6359</v>
      </c>
      <c r="N71" s="143">
        <v>16761</v>
      </c>
      <c r="O71" s="143">
        <v>27819</v>
      </c>
      <c r="P71" s="143">
        <v>16445</v>
      </c>
      <c r="Q71" s="112">
        <v>17764</v>
      </c>
      <c r="R71" s="143">
        <v>19980</v>
      </c>
      <c r="S71" s="143">
        <v>19913</v>
      </c>
      <c r="T71" s="143">
        <v>8420</v>
      </c>
      <c r="U71" s="112">
        <v>14574</v>
      </c>
      <c r="V71" s="143">
        <v>1297</v>
      </c>
      <c r="W71" s="143">
        <v>1601</v>
      </c>
      <c r="X71" s="143">
        <v>1211</v>
      </c>
      <c r="Y71" s="112">
        <v>1444</v>
      </c>
      <c r="Z71" s="143">
        <v>2473</v>
      </c>
      <c r="AA71" s="143">
        <v>1215</v>
      </c>
      <c r="AB71" s="112">
        <v>2659</v>
      </c>
      <c r="AC71" s="112">
        <v>8562</v>
      </c>
      <c r="AD71" s="255"/>
      <c r="AE71" s="94"/>
      <c r="AF71" s="94"/>
      <c r="AG71" s="6"/>
      <c r="AH71" s="94"/>
      <c r="AI71" s="6"/>
      <c r="AJ71" s="6"/>
      <c r="AK71" s="94"/>
      <c r="AL71" s="47"/>
      <c r="AM71" s="499">
        <f t="shared" si="45"/>
        <v>60281</v>
      </c>
      <c r="AN71" s="499">
        <f t="shared" si="46"/>
        <v>62028</v>
      </c>
      <c r="AO71" s="362">
        <f t="shared" si="47"/>
        <v>11198</v>
      </c>
      <c r="AP71" s="39">
        <f>IF(OR((AO71/AS71)&gt;3,(AO71/AS71)&lt;-3),"n.m.",(AO71/AS71))</f>
        <v>0.14212643896990695</v>
      </c>
      <c r="AQ71" s="94"/>
      <c r="AR71" s="492">
        <f t="shared" si="49"/>
        <v>89987</v>
      </c>
      <c r="AS71" s="132">
        <f t="shared" si="50"/>
        <v>78789</v>
      </c>
      <c r="AT71" s="37">
        <v>62887</v>
      </c>
      <c r="AU71" s="37">
        <v>5553</v>
      </c>
      <c r="AV71" s="37">
        <v>14909</v>
      </c>
      <c r="AW71" s="37">
        <v>17584</v>
      </c>
      <c r="AX71" s="37">
        <v>12713</v>
      </c>
      <c r="AY71" s="37">
        <f>4636</f>
        <v>4636</v>
      </c>
      <c r="AZ71" s="225"/>
      <c r="BA71" s="225"/>
      <c r="BB71" s="108"/>
      <c r="BC71" s="94"/>
    </row>
    <row r="72" spans="1:55" ht="12.75" customHeight="1" x14ac:dyDescent="0.2">
      <c r="A72" s="44"/>
      <c r="B72" s="6" t="s">
        <v>63</v>
      </c>
      <c r="C72" s="45">
        <f t="shared" si="43"/>
        <v>-505</v>
      </c>
      <c r="D72" s="39">
        <f t="shared" si="44"/>
        <v>-2.3488372093023258</v>
      </c>
      <c r="E72" s="47"/>
      <c r="F72" s="493"/>
      <c r="G72" s="493"/>
      <c r="H72" s="493"/>
      <c r="I72" s="112">
        <v>-290</v>
      </c>
      <c r="J72" s="493">
        <v>454</v>
      </c>
      <c r="K72" s="493">
        <v>561</v>
      </c>
      <c r="L72" s="493">
        <v>783</v>
      </c>
      <c r="M72" s="112">
        <v>215</v>
      </c>
      <c r="N72" s="143">
        <v>1747</v>
      </c>
      <c r="O72" s="143">
        <v>848</v>
      </c>
      <c r="P72" s="143">
        <v>-2929</v>
      </c>
      <c r="Q72" s="112">
        <v>-48</v>
      </c>
      <c r="R72" s="143">
        <v>6902</v>
      </c>
      <c r="S72" s="143">
        <v>3619</v>
      </c>
      <c r="T72" s="143">
        <v>2704</v>
      </c>
      <c r="U72" s="112">
        <v>1288</v>
      </c>
      <c r="V72" s="143">
        <v>3191</v>
      </c>
      <c r="W72" s="143">
        <v>9164</v>
      </c>
      <c r="X72" s="143">
        <v>3867</v>
      </c>
      <c r="Y72" s="112">
        <v>4913</v>
      </c>
      <c r="Z72" s="143">
        <v>3828</v>
      </c>
      <c r="AA72" s="143">
        <v>2161</v>
      </c>
      <c r="AB72" s="112">
        <v>1000</v>
      </c>
      <c r="AC72" s="112">
        <v>2684</v>
      </c>
      <c r="AD72" s="255">
        <v>5363</v>
      </c>
      <c r="AE72" s="94"/>
      <c r="AF72" s="94"/>
      <c r="AG72" s="6"/>
      <c r="AH72" s="94"/>
      <c r="AI72" s="6"/>
      <c r="AJ72" s="6"/>
      <c r="AK72" s="94"/>
      <c r="AL72" s="47"/>
      <c r="AM72" s="499">
        <f t="shared" si="45"/>
        <v>1559</v>
      </c>
      <c r="AN72" s="499">
        <f t="shared" si="46"/>
        <v>-2129</v>
      </c>
      <c r="AO72" s="362">
        <f t="shared" si="47"/>
        <v>2395</v>
      </c>
      <c r="AP72" s="327" t="str">
        <f t="shared" si="48"/>
        <v>n.m.</v>
      </c>
      <c r="AQ72" s="94"/>
      <c r="AR72" s="492">
        <f t="shared" si="49"/>
        <v>2013</v>
      </c>
      <c r="AS72" s="132">
        <f t="shared" si="50"/>
        <v>-382</v>
      </c>
      <c r="AT72" s="37">
        <v>14513</v>
      </c>
      <c r="AU72" s="37">
        <v>21135</v>
      </c>
      <c r="AV72" s="37">
        <v>9673</v>
      </c>
      <c r="AW72" s="37">
        <v>3820</v>
      </c>
      <c r="AX72" s="37">
        <v>14642</v>
      </c>
      <c r="AY72" s="37">
        <v>22208</v>
      </c>
      <c r="AZ72" s="225"/>
      <c r="BA72" s="225"/>
      <c r="BB72" s="108"/>
      <c r="BC72" s="94"/>
    </row>
    <row r="73" spans="1:55" ht="12.75" customHeight="1" x14ac:dyDescent="0.2">
      <c r="A73" s="44"/>
      <c r="B73" s="6" t="s">
        <v>64</v>
      </c>
      <c r="C73" s="45">
        <f t="shared" si="43"/>
        <v>-2257</v>
      </c>
      <c r="D73" s="39">
        <f t="shared" si="44"/>
        <v>-0.29728661749209695</v>
      </c>
      <c r="E73" s="47"/>
      <c r="F73" s="493"/>
      <c r="G73" s="493"/>
      <c r="H73" s="493"/>
      <c r="I73" s="112">
        <v>5335</v>
      </c>
      <c r="J73" s="493">
        <v>5292</v>
      </c>
      <c r="K73" s="493">
        <v>6253</v>
      </c>
      <c r="L73" s="493">
        <v>5935</v>
      </c>
      <c r="M73" s="112">
        <v>7592</v>
      </c>
      <c r="N73" s="143">
        <v>7872</v>
      </c>
      <c r="O73" s="143">
        <v>8033</v>
      </c>
      <c r="P73" s="143">
        <v>7569</v>
      </c>
      <c r="Q73" s="112">
        <v>7780</v>
      </c>
      <c r="R73" s="143">
        <v>7586</v>
      </c>
      <c r="S73" s="143">
        <v>7687</v>
      </c>
      <c r="T73" s="143">
        <v>5362</v>
      </c>
      <c r="U73" s="112">
        <v>3079</v>
      </c>
      <c r="V73" s="143">
        <v>3272</v>
      </c>
      <c r="W73" s="143">
        <v>3852</v>
      </c>
      <c r="X73" s="143">
        <v>3893</v>
      </c>
      <c r="Y73" s="112">
        <v>3439</v>
      </c>
      <c r="Z73" s="143">
        <v>4918</v>
      </c>
      <c r="AA73" s="143">
        <v>8514</v>
      </c>
      <c r="AB73" s="112">
        <v>10813</v>
      </c>
      <c r="AC73" s="112">
        <v>11226</v>
      </c>
      <c r="AD73" s="255">
        <v>1512</v>
      </c>
      <c r="AE73" s="94"/>
      <c r="AF73" s="94"/>
      <c r="AG73" s="6"/>
      <c r="AH73" s="94"/>
      <c r="AI73" s="6"/>
      <c r="AJ73" s="6"/>
      <c r="AK73" s="94"/>
      <c r="AL73" s="47"/>
      <c r="AM73" s="499">
        <f t="shared" si="45"/>
        <v>19780</v>
      </c>
      <c r="AN73" s="499">
        <f t="shared" si="46"/>
        <v>23382</v>
      </c>
      <c r="AO73" s="362">
        <f t="shared" si="47"/>
        <v>-6182</v>
      </c>
      <c r="AP73" s="39">
        <f t="shared" si="48"/>
        <v>-0.19779868176873361</v>
      </c>
      <c r="AQ73" s="94"/>
      <c r="AR73" s="492">
        <f t="shared" si="49"/>
        <v>25072</v>
      </c>
      <c r="AS73" s="132">
        <f t="shared" si="50"/>
        <v>31254</v>
      </c>
      <c r="AT73" s="37">
        <v>23714</v>
      </c>
      <c r="AU73" s="37">
        <v>14456</v>
      </c>
      <c r="AV73" s="37">
        <v>35471</v>
      </c>
      <c r="AW73" s="37">
        <v>58127</v>
      </c>
      <c r="AX73" s="37">
        <v>52152</v>
      </c>
      <c r="AY73" s="37">
        <f>33277+8255</f>
        <v>41532</v>
      </c>
      <c r="AZ73" s="225"/>
      <c r="BA73" s="225"/>
      <c r="BB73" s="108"/>
      <c r="BC73" s="94"/>
    </row>
    <row r="74" spans="1:55" ht="12.75" customHeight="1" x14ac:dyDescent="0.2">
      <c r="A74" s="126"/>
      <c r="B74" s="6" t="s">
        <v>65</v>
      </c>
      <c r="C74" s="45">
        <f t="shared" si="43"/>
        <v>-3349</v>
      </c>
      <c r="D74" s="327">
        <f t="shared" si="44"/>
        <v>-1.0384496124031009</v>
      </c>
      <c r="E74" s="360"/>
      <c r="F74" s="493"/>
      <c r="G74" s="493"/>
      <c r="H74" s="493"/>
      <c r="I74" s="112">
        <v>-124</v>
      </c>
      <c r="J74" s="493">
        <v>6169</v>
      </c>
      <c r="K74" s="493">
        <v>4664</v>
      </c>
      <c r="L74" s="493">
        <f>7506+939</f>
        <v>8445</v>
      </c>
      <c r="M74" s="112">
        <v>3225</v>
      </c>
      <c r="N74" s="143">
        <v>10006</v>
      </c>
      <c r="O74" s="143">
        <v>8317</v>
      </c>
      <c r="P74" s="143">
        <v>1316</v>
      </c>
      <c r="Q74" s="112">
        <v>6627</v>
      </c>
      <c r="R74" s="143">
        <v>11160</v>
      </c>
      <c r="S74" s="143">
        <v>6815</v>
      </c>
      <c r="T74" s="143">
        <v>6651</v>
      </c>
      <c r="U74" s="112">
        <v>3986</v>
      </c>
      <c r="V74" s="143">
        <v>6846</v>
      </c>
      <c r="W74" s="143">
        <v>5370</v>
      </c>
      <c r="X74" s="143">
        <v>4689</v>
      </c>
      <c r="Y74" s="112">
        <v>10808</v>
      </c>
      <c r="Z74" s="143">
        <v>4941</v>
      </c>
      <c r="AA74" s="143">
        <v>713</v>
      </c>
      <c r="AB74" s="112">
        <v>4301</v>
      </c>
      <c r="AC74" s="112">
        <v>6269</v>
      </c>
      <c r="AD74" s="256">
        <v>60</v>
      </c>
      <c r="AE74" s="13"/>
      <c r="AF74" s="13"/>
      <c r="AG74" s="13"/>
      <c r="AH74" s="13"/>
      <c r="AI74" s="13"/>
      <c r="AJ74" s="13"/>
      <c r="AK74" s="13"/>
      <c r="AL74" s="47"/>
      <c r="AM74" s="499">
        <f t="shared" si="45"/>
        <v>16334</v>
      </c>
      <c r="AN74" s="499">
        <f t="shared" si="46"/>
        <v>16260</v>
      </c>
      <c r="AO74" s="363">
        <f t="shared" si="47"/>
        <v>-3763</v>
      </c>
      <c r="AP74" s="101">
        <f t="shared" si="48"/>
        <v>-0.14326505748876875</v>
      </c>
      <c r="AQ74" s="44"/>
      <c r="AR74" s="492">
        <f t="shared" si="49"/>
        <v>22503</v>
      </c>
      <c r="AS74" s="132">
        <f t="shared" si="50"/>
        <v>26266</v>
      </c>
      <c r="AT74" s="37">
        <v>28612</v>
      </c>
      <c r="AU74" s="37">
        <v>27713</v>
      </c>
      <c r="AV74" s="37">
        <v>16224</v>
      </c>
      <c r="AW74" s="37">
        <v>24335</v>
      </c>
      <c r="AX74" s="37">
        <v>13303</v>
      </c>
      <c r="AY74" s="105">
        <v>12458</v>
      </c>
      <c r="AZ74" s="225"/>
      <c r="BA74" s="225"/>
      <c r="BB74" s="108"/>
      <c r="BC74" s="94"/>
    </row>
    <row r="75" spans="1:55" ht="12.75" customHeight="1" x14ac:dyDescent="0.2">
      <c r="A75" s="126"/>
      <c r="B75" s="6"/>
      <c r="C75" s="341">
        <f t="shared" si="43"/>
        <v>-16752</v>
      </c>
      <c r="D75" s="342">
        <f t="shared" si="44"/>
        <v>-0.21857752377970016</v>
      </c>
      <c r="E75" s="22"/>
      <c r="F75" s="241">
        <f>SUM(F69:F74)</f>
        <v>0</v>
      </c>
      <c r="G75" s="241">
        <f>SUM(G69:G74)</f>
        <v>0</v>
      </c>
      <c r="H75" s="241">
        <f>SUM(H69:H74)</f>
        <v>0</v>
      </c>
      <c r="I75" s="344">
        <f>SUM(I69:I74)</f>
        <v>59889</v>
      </c>
      <c r="J75" s="241">
        <f t="shared" ref="J75:P75" si="51">SUM(J69:J74)</f>
        <v>93600</v>
      </c>
      <c r="K75" s="241">
        <f t="shared" si="51"/>
        <v>115470</v>
      </c>
      <c r="L75" s="241">
        <f t="shared" si="51"/>
        <v>80728</v>
      </c>
      <c r="M75" s="344">
        <f t="shared" si="51"/>
        <v>76641</v>
      </c>
      <c r="N75" s="241">
        <f t="shared" si="51"/>
        <v>132854</v>
      </c>
      <c r="O75" s="241">
        <f t="shared" si="51"/>
        <v>110444</v>
      </c>
      <c r="P75" s="241">
        <f t="shared" si="51"/>
        <v>91743</v>
      </c>
      <c r="Q75" s="344">
        <f>SUM(Q69:Q74)</f>
        <v>123090</v>
      </c>
      <c r="R75" s="241">
        <v>183239</v>
      </c>
      <c r="S75" s="241">
        <v>196906</v>
      </c>
      <c r="T75" s="241">
        <v>109493</v>
      </c>
      <c r="U75" s="344">
        <v>108918</v>
      </c>
      <c r="V75" s="241">
        <v>98022</v>
      </c>
      <c r="W75" s="241">
        <v>123626</v>
      </c>
      <c r="X75" s="241">
        <v>79190</v>
      </c>
      <c r="Y75" s="344">
        <v>87934</v>
      </c>
      <c r="Z75" s="240">
        <v>72784</v>
      </c>
      <c r="AA75" s="241">
        <v>57907</v>
      </c>
      <c r="AB75" s="344">
        <v>80775</v>
      </c>
      <c r="AC75" s="344">
        <v>108898</v>
      </c>
      <c r="AD75" s="344">
        <v>104793</v>
      </c>
      <c r="AE75" s="2"/>
      <c r="AF75" s="2"/>
      <c r="AG75" s="2"/>
      <c r="AH75" s="2"/>
      <c r="AI75" s="2"/>
      <c r="AJ75" s="2"/>
      <c r="AK75" s="2"/>
      <c r="AL75" s="22"/>
      <c r="AM75" s="241">
        <f>SUM(AM69:AM74)</f>
        <v>272839</v>
      </c>
      <c r="AN75" s="241">
        <f>SUM(AN69:AN74)</f>
        <v>325277</v>
      </c>
      <c r="AO75" s="346">
        <f t="shared" si="47"/>
        <v>-91692</v>
      </c>
      <c r="AP75" s="342">
        <f t="shared" si="48"/>
        <v>-0.2001436270411738</v>
      </c>
      <c r="AR75" s="240">
        <f>SUM(AR69:AR74)</f>
        <v>366439</v>
      </c>
      <c r="AS75" s="240">
        <f>SUM(AS69:AS74)</f>
        <v>458131</v>
      </c>
      <c r="AT75" s="240">
        <v>598556</v>
      </c>
      <c r="AU75" s="240">
        <v>388772</v>
      </c>
      <c r="AV75" s="343">
        <v>320364</v>
      </c>
      <c r="AW75" s="347">
        <v>509066</v>
      </c>
      <c r="AX75" s="347">
        <v>530492</v>
      </c>
      <c r="AY75" s="116">
        <f>SUM(AY69:AY74)</f>
        <v>437554</v>
      </c>
      <c r="AZ75" s="225"/>
      <c r="BA75" s="225"/>
      <c r="BB75" s="108"/>
      <c r="BC75" s="94"/>
    </row>
    <row r="76" spans="1:55" s="412" customFormat="1" ht="12.75" customHeight="1" x14ac:dyDescent="0.2">
      <c r="A76" s="126"/>
      <c r="B76" s="6"/>
      <c r="C76" s="265"/>
      <c r="D76" s="250"/>
      <c r="E76" s="22"/>
      <c r="F76" s="248"/>
      <c r="G76" s="248"/>
      <c r="H76" s="248"/>
      <c r="I76" s="444"/>
      <c r="J76" s="248"/>
      <c r="K76" s="248"/>
      <c r="L76" s="248"/>
      <c r="M76" s="444"/>
      <c r="N76" s="159"/>
      <c r="O76" s="248"/>
      <c r="P76" s="248"/>
      <c r="Q76" s="444"/>
      <c r="R76" s="159"/>
      <c r="S76" s="248"/>
      <c r="T76" s="248"/>
      <c r="U76" s="429"/>
      <c r="V76" s="159"/>
      <c r="W76" s="429"/>
      <c r="X76" s="429"/>
      <c r="Y76" s="429"/>
      <c r="Z76" s="238"/>
      <c r="AA76" s="238"/>
      <c r="AB76" s="238"/>
      <c r="AC76" s="238"/>
      <c r="AD76" s="238"/>
      <c r="AE76" s="2"/>
      <c r="AF76" s="2"/>
      <c r="AG76" s="2"/>
      <c r="AH76" s="2"/>
      <c r="AI76" s="2"/>
      <c r="AJ76" s="2"/>
      <c r="AK76" s="2"/>
      <c r="AL76" s="22"/>
      <c r="AM76" s="15"/>
      <c r="AN76" s="16"/>
      <c r="AO76" s="445"/>
      <c r="AP76" s="316"/>
      <c r="AR76" s="430"/>
      <c r="AS76" s="430"/>
      <c r="AT76" s="430"/>
      <c r="AU76" s="430"/>
      <c r="AV76" s="287"/>
      <c r="AW76" s="430"/>
      <c r="AX76" s="430"/>
      <c r="AY76" s="143"/>
      <c r="AZ76" s="91"/>
      <c r="BA76" s="91"/>
      <c r="BB76" s="23"/>
    </row>
    <row r="77" spans="1:55" s="412" customFormat="1" ht="13.5" customHeight="1" x14ac:dyDescent="0.2">
      <c r="A77" s="126"/>
      <c r="B77" s="6" t="s">
        <v>297</v>
      </c>
      <c r="C77" s="100" t="e">
        <f>I77-M77</f>
        <v>#REF!</v>
      </c>
      <c r="D77" s="325" t="e">
        <f>IF(OR((C77/M77)&gt;3,(C77/M77)&lt;-3),"n.m.",(C77/M77))</f>
        <v>#REF!</v>
      </c>
      <c r="E77" s="22"/>
      <c r="F77" s="246"/>
      <c r="G77" s="246"/>
      <c r="H77" s="246"/>
      <c r="I77" s="269">
        <v>-1755</v>
      </c>
      <c r="J77" s="246">
        <v>-4119</v>
      </c>
      <c r="K77" s="246">
        <v>-2879</v>
      </c>
      <c r="L77" s="246">
        <v>-1302</v>
      </c>
      <c r="M77" s="269" t="e">
        <f>+#REF!-'8 UK and Europe'!M73-'9 US'!M72</f>
        <v>#REF!</v>
      </c>
      <c r="N77" s="158" t="e">
        <f>#REF!-'9 US'!N72</f>
        <v>#REF!</v>
      </c>
      <c r="O77" s="246" t="e">
        <f>#REF!-'9 US'!O72</f>
        <v>#REF!</v>
      </c>
      <c r="P77" s="246">
        <v>-6322</v>
      </c>
      <c r="Q77" s="269">
        <v>-10795</v>
      </c>
      <c r="R77" s="158">
        <v>-9261</v>
      </c>
      <c r="S77" s="246">
        <v>-1134</v>
      </c>
      <c r="T77" s="246">
        <v>-5070</v>
      </c>
      <c r="U77" s="256">
        <v>-6918</v>
      </c>
      <c r="V77" s="431" t="s">
        <v>177</v>
      </c>
      <c r="W77" s="432" t="s">
        <v>177</v>
      </c>
      <c r="X77" s="432" t="s">
        <v>177</v>
      </c>
      <c r="Y77" s="432" t="s">
        <v>177</v>
      </c>
      <c r="Z77" s="433"/>
      <c r="AA77" s="433"/>
      <c r="AB77" s="433"/>
      <c r="AC77" s="433"/>
      <c r="AD77" s="433"/>
      <c r="AE77" s="434"/>
      <c r="AF77" s="434"/>
      <c r="AG77" s="434"/>
      <c r="AH77" s="434"/>
      <c r="AI77" s="434"/>
      <c r="AJ77" s="434"/>
      <c r="AK77" s="434"/>
      <c r="AL77" s="470"/>
      <c r="AM77" s="158" t="e">
        <f>SUM(K77:M77)</f>
        <v>#REF!</v>
      </c>
      <c r="AN77" s="246" t="e">
        <f>SUM(O77:Q77)</f>
        <v>#REF!</v>
      </c>
      <c r="AO77" s="446" t="e">
        <f>AR77-AS77</f>
        <v>#REF!</v>
      </c>
      <c r="AP77" s="325" t="e">
        <f>-IF(OR((AO77/AS77)&gt;3,(AO77/AS77)&lt;-3),"n.m.",(AO77/AS77))</f>
        <v>#REF!</v>
      </c>
      <c r="AQ77" s="55"/>
      <c r="AR77" s="435" t="e">
        <f>SUM(J77:M77)</f>
        <v>#REF!</v>
      </c>
      <c r="AS77" s="435" t="e">
        <f>SUM(N77:Q77)</f>
        <v>#REF!</v>
      </c>
      <c r="AT77" s="435">
        <f>SUM(R77:U77)</f>
        <v>-22383</v>
      </c>
      <c r="AU77" s="435" t="s">
        <v>177</v>
      </c>
      <c r="AV77" s="436" t="s">
        <v>177</v>
      </c>
      <c r="AW77" s="435" t="s">
        <v>177</v>
      </c>
      <c r="AX77" s="435" t="s">
        <v>177</v>
      </c>
      <c r="AY77" s="143"/>
      <c r="AZ77" s="91"/>
      <c r="BA77" s="91"/>
      <c r="BB77" s="23"/>
    </row>
    <row r="78" spans="1:55" ht="12.75" customHeight="1" x14ac:dyDescent="0.2">
      <c r="B78" s="11"/>
      <c r="C78" s="11"/>
      <c r="D78" s="11"/>
      <c r="E78" s="11"/>
      <c r="F78" s="11"/>
      <c r="G78" s="11"/>
      <c r="H78" s="11"/>
      <c r="I78" s="13"/>
      <c r="J78" s="11"/>
      <c r="K78" s="11"/>
      <c r="L78" s="11"/>
      <c r="M78" s="13"/>
      <c r="N78" s="11"/>
      <c r="O78" s="11"/>
      <c r="P78" s="11"/>
      <c r="Q78" s="13"/>
      <c r="R78" s="11"/>
      <c r="S78" s="11"/>
      <c r="T78" s="11"/>
      <c r="U78" s="13"/>
      <c r="V78" s="11"/>
      <c r="W78" s="11"/>
      <c r="X78" s="11"/>
      <c r="Y78" s="13"/>
      <c r="Z78" s="11"/>
      <c r="AA78" s="11"/>
      <c r="AB78" s="11"/>
      <c r="AC78" s="13"/>
      <c r="AD78" s="13"/>
      <c r="AE78" s="13"/>
      <c r="AF78" s="13"/>
      <c r="AG78" s="13"/>
      <c r="AH78" s="13"/>
      <c r="AI78" s="13"/>
      <c r="AJ78" s="13"/>
      <c r="AK78" s="13"/>
      <c r="AL78" s="3"/>
      <c r="AM78" s="3"/>
      <c r="AN78" s="3"/>
      <c r="AW78" s="2"/>
      <c r="AX78" s="2"/>
      <c r="BB78" s="3"/>
      <c r="BC78" s="3"/>
    </row>
    <row r="79" spans="1:55" x14ac:dyDescent="0.2">
      <c r="A79" s="6" t="s">
        <v>310</v>
      </c>
    </row>
    <row r="80" spans="1:55" x14ac:dyDescent="0.2">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BB80" s="3"/>
      <c r="BC80" s="3"/>
    </row>
    <row r="81" spans="1:55" x14ac:dyDescent="0.2">
      <c r="A81" s="3"/>
      <c r="B81" s="3"/>
      <c r="C81" s="3"/>
      <c r="D81" s="3"/>
      <c r="F81" s="416"/>
      <c r="G81" s="416"/>
      <c r="H81" s="416"/>
      <c r="I81" s="416"/>
      <c r="J81" s="416"/>
      <c r="K81" s="416"/>
      <c r="L81" s="416"/>
      <c r="M81" s="416"/>
      <c r="N81" s="416"/>
      <c r="O81" s="416"/>
      <c r="P81" s="416"/>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416"/>
      <c r="AN81" s="416"/>
      <c r="AO81" s="493"/>
      <c r="AP81" s="326"/>
      <c r="AQ81" s="485"/>
      <c r="AR81" s="350"/>
      <c r="AS81" s="350"/>
      <c r="AT81" s="189"/>
      <c r="AU81" s="189"/>
      <c r="AV81" s="189"/>
      <c r="AW81" s="189"/>
      <c r="AX81" s="189"/>
      <c r="AY81" s="189"/>
      <c r="AZ81" s="189"/>
      <c r="BA81" s="189"/>
      <c r="BB81" s="189"/>
      <c r="BC81" s="3"/>
    </row>
    <row r="82" spans="1:55" x14ac:dyDescent="0.2">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485"/>
      <c r="AP82" s="485"/>
      <c r="AQ82" s="485"/>
      <c r="AR82" s="516"/>
      <c r="AS82" s="516"/>
      <c r="AT82" s="263"/>
      <c r="AU82" s="263"/>
      <c r="AV82" s="263"/>
      <c r="AW82" s="263"/>
      <c r="AX82" s="263"/>
      <c r="AY82" s="263"/>
      <c r="BB82" s="3"/>
      <c r="BC82" s="3"/>
    </row>
    <row r="83" spans="1:55" x14ac:dyDescent="0.2">
      <c r="I83" s="512"/>
      <c r="M83" s="512"/>
      <c r="Q83" s="28"/>
      <c r="U83" s="28"/>
      <c r="Y83" s="28"/>
      <c r="AC83" s="28"/>
      <c r="AE83" s="236"/>
      <c r="AH83" s="236"/>
      <c r="AI83" s="236"/>
      <c r="AK83" s="28"/>
      <c r="AL83" s="3"/>
      <c r="AM83" s="3"/>
      <c r="AN83" s="3"/>
      <c r="AO83" s="485"/>
      <c r="AP83" s="485"/>
      <c r="AQ83" s="485"/>
      <c r="AR83" s="462"/>
      <c r="AS83" s="462"/>
      <c r="AW83" s="2"/>
      <c r="AX83" s="2"/>
    </row>
    <row r="84" spans="1:55" x14ac:dyDescent="0.2">
      <c r="I84" s="2"/>
      <c r="M84" s="2"/>
      <c r="Q84" s="2"/>
      <c r="U84" s="2"/>
      <c r="Y84" s="2"/>
      <c r="AC84" s="2"/>
      <c r="AE84" s="236"/>
      <c r="AH84" s="236"/>
      <c r="AI84" s="236"/>
      <c r="AK84" s="96"/>
      <c r="AL84" s="3"/>
      <c r="AM84" s="3"/>
      <c r="AN84" s="3"/>
      <c r="AO84" s="485"/>
      <c r="AP84" s="485"/>
      <c r="AQ84" s="485"/>
      <c r="AR84" s="403"/>
      <c r="AS84" s="403"/>
      <c r="AW84" s="2"/>
      <c r="AX84" s="2"/>
    </row>
    <row r="85" spans="1:55" x14ac:dyDescent="0.2">
      <c r="I85" s="2"/>
      <c r="M85" s="2"/>
      <c r="Q85" s="2"/>
      <c r="U85" s="2"/>
      <c r="Y85" s="2"/>
      <c r="AC85" s="2"/>
      <c r="AE85" s="236"/>
      <c r="AH85" s="236"/>
      <c r="AI85" s="236"/>
      <c r="AK85" s="97"/>
      <c r="AL85" s="3"/>
      <c r="AM85" s="3"/>
      <c r="AN85" s="3"/>
      <c r="AW85" s="2"/>
      <c r="AX85" s="2"/>
    </row>
    <row r="86" spans="1:55" x14ac:dyDescent="0.2">
      <c r="I86" s="2"/>
      <c r="M86" s="2"/>
      <c r="Q86" s="2"/>
      <c r="U86" s="2"/>
      <c r="Y86" s="2"/>
      <c r="AC86" s="2"/>
      <c r="AE86" s="236"/>
      <c r="AH86" s="236"/>
      <c r="AI86" s="236"/>
      <c r="AK86" s="97"/>
      <c r="AL86" s="3"/>
      <c r="AM86" s="3"/>
      <c r="AN86" s="3"/>
      <c r="AW86" s="29"/>
      <c r="AX86" s="29"/>
    </row>
    <row r="87" spans="1:55" x14ac:dyDescent="0.2">
      <c r="I87" s="29"/>
      <c r="M87" s="29"/>
      <c r="Q87" s="29"/>
      <c r="U87" s="29"/>
      <c r="Y87" s="29"/>
      <c r="AC87" s="29"/>
      <c r="AE87" s="236"/>
      <c r="AH87" s="236"/>
      <c r="AI87" s="236"/>
      <c r="AK87" s="9"/>
      <c r="AL87" s="3"/>
      <c r="AM87" s="3"/>
      <c r="AN87" s="3"/>
      <c r="AW87" s="29"/>
      <c r="AX87" s="29"/>
    </row>
    <row r="88" spans="1:55" x14ac:dyDescent="0.2">
      <c r="I88" s="29"/>
      <c r="M88" s="29"/>
      <c r="Q88" s="29"/>
      <c r="U88" s="29"/>
      <c r="Y88" s="29"/>
      <c r="AC88" s="29"/>
      <c r="AE88" s="236"/>
      <c r="AH88" s="236"/>
      <c r="AI88" s="236"/>
      <c r="AK88" s="9"/>
      <c r="AL88" s="3"/>
      <c r="AM88" s="3"/>
      <c r="AN88" s="3"/>
      <c r="AW88" s="29"/>
      <c r="AX88" s="29"/>
    </row>
    <row r="89" spans="1:55" x14ac:dyDescent="0.2">
      <c r="I89" s="30"/>
      <c r="M89" s="30"/>
      <c r="Q89" s="30"/>
      <c r="U89" s="30"/>
      <c r="Y89" s="30"/>
      <c r="AC89" s="30"/>
      <c r="AE89" s="236"/>
      <c r="AH89" s="236"/>
      <c r="AI89" s="236"/>
      <c r="AK89" s="30"/>
      <c r="AL89" s="3"/>
      <c r="AM89" s="3"/>
      <c r="AN89" s="3"/>
      <c r="AW89" s="2"/>
      <c r="AX89" s="2"/>
    </row>
    <row r="90" spans="1:55" x14ac:dyDescent="0.2">
      <c r="I90" s="2"/>
      <c r="M90" s="2"/>
      <c r="Q90" s="2"/>
      <c r="U90" s="2"/>
      <c r="Y90" s="2"/>
      <c r="AC90" s="2"/>
      <c r="AE90" s="236"/>
      <c r="AH90" s="236"/>
      <c r="AI90" s="236"/>
      <c r="AK90" s="98"/>
      <c r="AL90" s="3"/>
      <c r="AM90" s="3"/>
      <c r="AN90" s="3"/>
      <c r="AW90" s="2"/>
      <c r="AX90" s="2"/>
    </row>
    <row r="91" spans="1:55" x14ac:dyDescent="0.2">
      <c r="I91" s="2"/>
      <c r="M91" s="2"/>
      <c r="Q91" s="2"/>
      <c r="U91" s="2"/>
      <c r="Y91" s="2"/>
      <c r="AC91" s="2"/>
      <c r="AD91" s="2"/>
      <c r="AE91" s="236"/>
      <c r="AG91" s="2"/>
      <c r="AH91" s="236"/>
      <c r="AI91" s="236"/>
      <c r="AJ91" s="2"/>
      <c r="AK91" s="2"/>
      <c r="AL91" s="3"/>
      <c r="AM91" s="3"/>
      <c r="AN91" s="3"/>
      <c r="AW91" s="41"/>
      <c r="AX91" s="41"/>
    </row>
    <row r="92" spans="1:55" x14ac:dyDescent="0.2">
      <c r="I92" s="29"/>
      <c r="M92" s="29"/>
      <c r="Q92" s="29"/>
      <c r="U92" s="29"/>
      <c r="Y92" s="29"/>
      <c r="AC92" s="29"/>
      <c r="AD92" s="38"/>
      <c r="AE92" s="236"/>
      <c r="AF92" s="29"/>
      <c r="AG92" s="29"/>
      <c r="AH92" s="236"/>
      <c r="AI92" s="236"/>
      <c r="AJ92" s="31"/>
      <c r="AK92" s="1"/>
      <c r="AL92" s="3"/>
      <c r="AM92" s="3"/>
      <c r="AN92" s="3"/>
      <c r="AW92" s="41"/>
      <c r="AX92" s="41"/>
    </row>
    <row r="93" spans="1:55" x14ac:dyDescent="0.2">
      <c r="AC93" s="29"/>
      <c r="AD93" s="29"/>
      <c r="AE93" s="236"/>
      <c r="AH93" s="236"/>
      <c r="AI93" s="236"/>
      <c r="AJ93" s="29"/>
      <c r="AK93" s="29"/>
      <c r="AL93" s="3"/>
      <c r="AM93" s="3"/>
      <c r="AN93" s="3"/>
      <c r="AW93" s="42"/>
      <c r="AX93" s="42"/>
    </row>
    <row r="94" spans="1:55" x14ac:dyDescent="0.2">
      <c r="AC94" s="9"/>
      <c r="AD94" s="36"/>
      <c r="AE94" s="32"/>
      <c r="AF94" s="32"/>
      <c r="AG94" s="32"/>
      <c r="AH94" s="36"/>
      <c r="AI94" s="32"/>
      <c r="AJ94" s="32"/>
      <c r="AK94" s="40"/>
      <c r="AL94" s="3"/>
      <c r="AM94" s="3"/>
      <c r="AN94" s="3"/>
      <c r="AW94" s="43"/>
      <c r="AX94" s="43"/>
    </row>
    <row r="95" spans="1:55" x14ac:dyDescent="0.2">
      <c r="AC95" s="9"/>
      <c r="AD95" s="32"/>
      <c r="AE95" s="32"/>
      <c r="AF95" s="32"/>
      <c r="AG95" s="32"/>
      <c r="AH95" s="32"/>
      <c r="AI95" s="32"/>
      <c r="AJ95" s="32"/>
      <c r="AK95" s="40"/>
      <c r="AL95" s="3"/>
      <c r="AM95" s="3"/>
      <c r="AN95" s="3"/>
      <c r="AW95" s="32"/>
      <c r="AX95" s="32"/>
    </row>
    <row r="96" spans="1:55" x14ac:dyDescent="0.2">
      <c r="AC96" s="9"/>
      <c r="AD96" s="32"/>
      <c r="AE96" s="32"/>
      <c r="AF96" s="32"/>
      <c r="AG96" s="32"/>
      <c r="AH96" s="32"/>
      <c r="AI96" s="32"/>
      <c r="AJ96" s="32"/>
      <c r="AK96" s="35"/>
      <c r="AL96" s="3"/>
      <c r="AM96" s="3"/>
      <c r="AN96" s="3"/>
      <c r="AW96" s="32"/>
      <c r="AX96" s="32"/>
    </row>
    <row r="97" spans="29:50" x14ac:dyDescent="0.2">
      <c r="AC97" s="32"/>
      <c r="AD97" s="32"/>
      <c r="AE97" s="32"/>
      <c r="AF97" s="32"/>
      <c r="AG97" s="32"/>
      <c r="AH97" s="32"/>
      <c r="AI97" s="32"/>
      <c r="AJ97" s="32"/>
      <c r="AK97" s="32"/>
      <c r="AL97" s="3"/>
      <c r="AM97" s="3"/>
      <c r="AN97" s="3"/>
      <c r="AW97" s="33"/>
      <c r="AX97" s="33"/>
    </row>
    <row r="98" spans="29:50" x14ac:dyDescent="0.2">
      <c r="AC98" s="33"/>
      <c r="AD98" s="33"/>
      <c r="AE98" s="33"/>
      <c r="AF98" s="33"/>
      <c r="AG98" s="33"/>
      <c r="AH98" s="33"/>
      <c r="AI98" s="33"/>
      <c r="AJ98" s="33"/>
      <c r="AK98" s="33"/>
      <c r="AL98" s="3"/>
      <c r="AM98" s="3"/>
      <c r="AN98" s="3"/>
      <c r="AW98" s="33"/>
      <c r="AX98" s="33"/>
    </row>
    <row r="99" spans="29:50" x14ac:dyDescent="0.2">
      <c r="AC99" s="33"/>
      <c r="AD99" s="33"/>
      <c r="AE99" s="33"/>
      <c r="AF99" s="33"/>
      <c r="AG99" s="33"/>
      <c r="AH99" s="33"/>
      <c r="AI99" s="33"/>
      <c r="AJ99" s="33"/>
      <c r="AK99" s="33"/>
      <c r="AL99" s="3"/>
      <c r="AM99" s="3"/>
      <c r="AN99" s="3"/>
      <c r="AW99" s="3"/>
      <c r="AX99" s="3"/>
    </row>
    <row r="100" spans="29:50" x14ac:dyDescent="0.2">
      <c r="AC100" s="3"/>
      <c r="AD100" s="3"/>
      <c r="AE100" s="3"/>
      <c r="AF100" s="3"/>
      <c r="AG100" s="3"/>
      <c r="AH100" s="3"/>
      <c r="AI100" s="3"/>
      <c r="AJ100" s="3"/>
      <c r="AK100" s="3"/>
      <c r="AL100" s="3"/>
      <c r="AM100" s="3"/>
      <c r="AN100" s="3"/>
      <c r="AW100" s="3"/>
      <c r="AX100" s="3"/>
    </row>
    <row r="101" spans="29:50" x14ac:dyDescent="0.2">
      <c r="AC101" s="3"/>
      <c r="AD101" s="3"/>
      <c r="AE101" s="3"/>
      <c r="AF101" s="3"/>
      <c r="AG101" s="3"/>
      <c r="AH101" s="3"/>
      <c r="AI101" s="3"/>
      <c r="AJ101" s="3"/>
      <c r="AK101" s="3"/>
      <c r="AL101" s="3"/>
      <c r="AM101" s="3"/>
      <c r="AN101" s="3"/>
      <c r="AW101" s="3"/>
      <c r="AX101" s="3"/>
    </row>
    <row r="102" spans="29:50" x14ac:dyDescent="0.2">
      <c r="AC102" s="3"/>
      <c r="AD102" s="3"/>
      <c r="AE102" s="3"/>
      <c r="AF102" s="3"/>
      <c r="AG102" s="3"/>
      <c r="AH102" s="3"/>
      <c r="AI102" s="3"/>
      <c r="AJ102" s="3"/>
      <c r="AK102" s="3"/>
      <c r="AL102" s="3"/>
      <c r="AM102" s="3"/>
      <c r="AN102" s="3"/>
      <c r="AW102" s="3"/>
      <c r="AX102" s="3"/>
    </row>
    <row r="103" spans="29:50" x14ac:dyDescent="0.2">
      <c r="AC103" s="3"/>
      <c r="AD103" s="3"/>
      <c r="AE103" s="3"/>
      <c r="AF103" s="3"/>
      <c r="AG103" s="3"/>
      <c r="AH103" s="3"/>
      <c r="AI103" s="3"/>
      <c r="AJ103" s="3"/>
      <c r="AK103" s="3"/>
      <c r="AL103" s="3"/>
      <c r="AM103" s="3"/>
      <c r="AN103" s="3"/>
      <c r="AW103" s="3"/>
      <c r="AX103" s="3"/>
    </row>
    <row r="104" spans="29:50" x14ac:dyDescent="0.2">
      <c r="AC104" s="3"/>
      <c r="AD104" s="3"/>
      <c r="AE104" s="3"/>
      <c r="AF104" s="3"/>
      <c r="AG104" s="3"/>
      <c r="AH104" s="3"/>
      <c r="AI104" s="3"/>
      <c r="AJ104" s="3"/>
      <c r="AK104" s="3"/>
      <c r="AL104" s="3"/>
      <c r="AM104" s="3"/>
      <c r="AN104" s="3"/>
    </row>
  </sheetData>
  <mergeCells count="11">
    <mergeCell ref="A42:B42"/>
    <mergeCell ref="C57:D57"/>
    <mergeCell ref="C9:D9"/>
    <mergeCell ref="C10:D10"/>
    <mergeCell ref="C56:D56"/>
    <mergeCell ref="A36:B36"/>
    <mergeCell ref="AO10:AP10"/>
    <mergeCell ref="AO57:AP57"/>
    <mergeCell ref="AO68:AP68"/>
    <mergeCell ref="C68:D68"/>
    <mergeCell ref="C67:D67"/>
  </mergeCells>
  <phoneticPr fontId="16" type="noConversion"/>
  <conditionalFormatting sqref="AV46:AX50 A54:A55 AS65:AT65 AD46:AK50 AD62:AK65 A66 A74:A77 AU62:AX65 AU46:AU51 AS51:AT51 B43:B47 A43 A46:A47">
    <cfRule type="cellIs" dxfId="17" priority="4" stopIfTrue="1" operator="equal">
      <formula>0</formula>
    </cfRule>
  </conditionalFormatting>
  <conditionalFormatting sqref="AR65 AR51">
    <cfRule type="cellIs" dxfId="16" priority="1" stopIfTrue="1" operator="equal">
      <formula>0</formula>
    </cfRule>
  </conditionalFormatting>
  <printOptions horizontalCentered="1"/>
  <pageMargins left="0.3" right="0.3" top="0.4" bottom="0.6" header="0" footer="0.3"/>
  <pageSetup scale="56" orientation="landscape" r:id="rId1"/>
  <headerFooter alignWithMargins="0">
    <oddFooter>&amp;L&amp;F&amp;CPage 7</oddFooter>
  </headerFooter>
  <colBreaks count="1" manualBreakCount="1">
    <brk id="51" max="70" man="1"/>
  </colBreaks>
  <ignoredErrors>
    <ignoredError sqref="AT31 AT20:AT29"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97"/>
  <sheetViews>
    <sheetView view="pageBreakPreview" topLeftCell="A28" zoomScale="90" zoomScaleNormal="100" zoomScaleSheetLayoutView="90" workbookViewId="0">
      <pane xSplit="2" topLeftCell="C1" activePane="topRight" state="frozenSplit"/>
      <selection activeCell="B21" sqref="B21:L21"/>
      <selection pane="topRight" activeCell="A73" sqref="A73:XFD73"/>
    </sheetView>
  </sheetViews>
  <sheetFormatPr defaultRowHeight="12.75" outlineLevelRow="1" x14ac:dyDescent="0.2"/>
  <cols>
    <col min="1" max="1" width="2.7109375" style="412" customWidth="1"/>
    <col min="2" max="2" width="44.7109375" style="412" customWidth="1"/>
    <col min="3" max="4" width="9.7109375" style="412" customWidth="1"/>
    <col min="5" max="5" width="1.5703125" style="3" customWidth="1"/>
    <col min="6" max="6" width="9.7109375" style="486" hidden="1" customWidth="1"/>
    <col min="7" max="8" width="8.42578125" style="486" hidden="1" customWidth="1"/>
    <col min="9" max="9" width="8.42578125" style="486" customWidth="1"/>
    <col min="10" max="10" width="9.7109375" style="486" customWidth="1"/>
    <col min="11" max="13" width="8.42578125" style="486" customWidth="1"/>
    <col min="14" max="16" width="8.5703125" style="3" customWidth="1"/>
    <col min="17" max="17" width="8.85546875" style="3" customWidth="1"/>
    <col min="18" max="18" width="9.140625" style="3" hidden="1" customWidth="1"/>
    <col min="19" max="26" width="8.5703125" style="3" hidden="1" customWidth="1"/>
    <col min="27" max="28" width="9.7109375" style="3" hidden="1" customWidth="1"/>
    <col min="29" max="37" width="9.7109375" style="412" hidden="1" customWidth="1"/>
    <col min="38" max="38" width="1.5703125" style="412" customWidth="1"/>
    <col min="39" max="40" width="9.85546875" style="412" hidden="1" customWidth="1"/>
    <col min="41" max="42" width="9.85546875" style="64" hidden="1" customWidth="1"/>
    <col min="43" max="43" width="1.5703125" style="412" hidden="1" customWidth="1"/>
    <col min="44" max="46" width="9.7109375" style="64" customWidth="1"/>
    <col min="47" max="47" width="9.28515625" style="412" customWidth="1"/>
    <col min="48" max="48" width="9.7109375" style="412" customWidth="1"/>
    <col min="49" max="53" width="9.7109375" style="412" hidden="1" customWidth="1"/>
    <col min="54" max="54" width="1.5703125" style="412" customWidth="1"/>
    <col min="55" max="268" width="9.140625" style="412"/>
    <col min="269" max="269" width="2.7109375" style="412" customWidth="1"/>
    <col min="270" max="270" width="38.140625" style="412" customWidth="1"/>
    <col min="271" max="271" width="9.5703125" style="412" customWidth="1"/>
    <col min="272" max="272" width="9.7109375" style="412" customWidth="1"/>
    <col min="273" max="273" width="1.5703125" style="412" customWidth="1"/>
    <col min="274" max="276" width="0" style="412" hidden="1" customWidth="1"/>
    <col min="277" max="285" width="8.5703125" style="412" customWidth="1"/>
    <col min="286" max="300" width="0" style="412" hidden="1" customWidth="1"/>
    <col min="301" max="301" width="1.5703125" style="412" customWidth="1"/>
    <col min="302" max="302" width="9.7109375" style="412" customWidth="1"/>
    <col min="303" max="303" width="9.28515625" style="412" customWidth="1"/>
    <col min="304" max="306" width="9.7109375" style="412" customWidth="1"/>
    <col min="307" max="309" width="0" style="412" hidden="1" customWidth="1"/>
    <col min="310" max="310" width="1.5703125" style="412" customWidth="1"/>
    <col min="311" max="524" width="9.140625" style="412"/>
    <col min="525" max="525" width="2.7109375" style="412" customWidth="1"/>
    <col min="526" max="526" width="38.140625" style="412" customWidth="1"/>
    <col min="527" max="527" width="9.5703125" style="412" customWidth="1"/>
    <col min="528" max="528" width="9.7109375" style="412" customWidth="1"/>
    <col min="529" max="529" width="1.5703125" style="412" customWidth="1"/>
    <col min="530" max="532" width="0" style="412" hidden="1" customWidth="1"/>
    <col min="533" max="541" width="8.5703125" style="412" customWidth="1"/>
    <col min="542" max="556" width="0" style="412" hidden="1" customWidth="1"/>
    <col min="557" max="557" width="1.5703125" style="412" customWidth="1"/>
    <col min="558" max="558" width="9.7109375" style="412" customWidth="1"/>
    <col min="559" max="559" width="9.28515625" style="412" customWidth="1"/>
    <col min="560" max="562" width="9.7109375" style="412" customWidth="1"/>
    <col min="563" max="565" width="0" style="412" hidden="1" customWidth="1"/>
    <col min="566" max="566" width="1.5703125" style="412" customWidth="1"/>
    <col min="567" max="780" width="9.140625" style="412"/>
    <col min="781" max="781" width="2.7109375" style="412" customWidth="1"/>
    <col min="782" max="782" width="38.140625" style="412" customWidth="1"/>
    <col min="783" max="783" width="9.5703125" style="412" customWidth="1"/>
    <col min="784" max="784" width="9.7109375" style="412" customWidth="1"/>
    <col min="785" max="785" width="1.5703125" style="412" customWidth="1"/>
    <col min="786" max="788" width="0" style="412" hidden="1" customWidth="1"/>
    <col min="789" max="797" width="8.5703125" style="412" customWidth="1"/>
    <col min="798" max="812" width="0" style="412" hidden="1" customWidth="1"/>
    <col min="813" max="813" width="1.5703125" style="412" customWidth="1"/>
    <col min="814" max="814" width="9.7109375" style="412" customWidth="1"/>
    <col min="815" max="815" width="9.28515625" style="412" customWidth="1"/>
    <col min="816" max="818" width="9.7109375" style="412" customWidth="1"/>
    <col min="819" max="821" width="0" style="412" hidden="1" customWidth="1"/>
    <col min="822" max="822" width="1.5703125" style="412" customWidth="1"/>
    <col min="823" max="1036" width="9.140625" style="412"/>
    <col min="1037" max="1037" width="2.7109375" style="412" customWidth="1"/>
    <col min="1038" max="1038" width="38.140625" style="412" customWidth="1"/>
    <col min="1039" max="1039" width="9.5703125" style="412" customWidth="1"/>
    <col min="1040" max="1040" width="9.7109375" style="412" customWidth="1"/>
    <col min="1041" max="1041" width="1.5703125" style="412" customWidth="1"/>
    <col min="1042" max="1044" width="0" style="412" hidden="1" customWidth="1"/>
    <col min="1045" max="1053" width="8.5703125" style="412" customWidth="1"/>
    <col min="1054" max="1068" width="0" style="412" hidden="1" customWidth="1"/>
    <col min="1069" max="1069" width="1.5703125" style="412" customWidth="1"/>
    <col min="1070" max="1070" width="9.7109375" style="412" customWidth="1"/>
    <col min="1071" max="1071" width="9.28515625" style="412" customWidth="1"/>
    <col min="1072" max="1074" width="9.7109375" style="412" customWidth="1"/>
    <col min="1075" max="1077" width="0" style="412" hidden="1" customWidth="1"/>
    <col min="1078" max="1078" width="1.5703125" style="412" customWidth="1"/>
    <col min="1079" max="1292" width="9.140625" style="412"/>
    <col min="1293" max="1293" width="2.7109375" style="412" customWidth="1"/>
    <col min="1294" max="1294" width="38.140625" style="412" customWidth="1"/>
    <col min="1295" max="1295" width="9.5703125" style="412" customWidth="1"/>
    <col min="1296" max="1296" width="9.7109375" style="412" customWidth="1"/>
    <col min="1297" max="1297" width="1.5703125" style="412" customWidth="1"/>
    <col min="1298" max="1300" width="0" style="412" hidden="1" customWidth="1"/>
    <col min="1301" max="1309" width="8.5703125" style="412" customWidth="1"/>
    <col min="1310" max="1324" width="0" style="412" hidden="1" customWidth="1"/>
    <col min="1325" max="1325" width="1.5703125" style="412" customWidth="1"/>
    <col min="1326" max="1326" width="9.7109375" style="412" customWidth="1"/>
    <col min="1327" max="1327" width="9.28515625" style="412" customWidth="1"/>
    <col min="1328" max="1330" width="9.7109375" style="412" customWidth="1"/>
    <col min="1331" max="1333" width="0" style="412" hidden="1" customWidth="1"/>
    <col min="1334" max="1334" width="1.5703125" style="412" customWidth="1"/>
    <col min="1335" max="1548" width="9.140625" style="412"/>
    <col min="1549" max="1549" width="2.7109375" style="412" customWidth="1"/>
    <col min="1550" max="1550" width="38.140625" style="412" customWidth="1"/>
    <col min="1551" max="1551" width="9.5703125" style="412" customWidth="1"/>
    <col min="1552" max="1552" width="9.7109375" style="412" customWidth="1"/>
    <col min="1553" max="1553" width="1.5703125" style="412" customWidth="1"/>
    <col min="1554" max="1556" width="0" style="412" hidden="1" customWidth="1"/>
    <col min="1557" max="1565" width="8.5703125" style="412" customWidth="1"/>
    <col min="1566" max="1580" width="0" style="412" hidden="1" customWidth="1"/>
    <col min="1581" max="1581" width="1.5703125" style="412" customWidth="1"/>
    <col min="1582" max="1582" width="9.7109375" style="412" customWidth="1"/>
    <col min="1583" max="1583" width="9.28515625" style="412" customWidth="1"/>
    <col min="1584" max="1586" width="9.7109375" style="412" customWidth="1"/>
    <col min="1587" max="1589" width="0" style="412" hidden="1" customWidth="1"/>
    <col min="1590" max="1590" width="1.5703125" style="412" customWidth="1"/>
    <col min="1591" max="1804" width="9.140625" style="412"/>
    <col min="1805" max="1805" width="2.7109375" style="412" customWidth="1"/>
    <col min="1806" max="1806" width="38.140625" style="412" customWidth="1"/>
    <col min="1807" max="1807" width="9.5703125" style="412" customWidth="1"/>
    <col min="1808" max="1808" width="9.7109375" style="412" customWidth="1"/>
    <col min="1809" max="1809" width="1.5703125" style="412" customWidth="1"/>
    <col min="1810" max="1812" width="0" style="412" hidden="1" customWidth="1"/>
    <col min="1813" max="1821" width="8.5703125" style="412" customWidth="1"/>
    <col min="1822" max="1836" width="0" style="412" hidden="1" customWidth="1"/>
    <col min="1837" max="1837" width="1.5703125" style="412" customWidth="1"/>
    <col min="1838" max="1838" width="9.7109375" style="412" customWidth="1"/>
    <col min="1839" max="1839" width="9.28515625" style="412" customWidth="1"/>
    <col min="1840" max="1842" width="9.7109375" style="412" customWidth="1"/>
    <col min="1843" max="1845" width="0" style="412" hidden="1" customWidth="1"/>
    <col min="1846" max="1846" width="1.5703125" style="412" customWidth="1"/>
    <col min="1847" max="2060" width="9.140625" style="412"/>
    <col min="2061" max="2061" width="2.7109375" style="412" customWidth="1"/>
    <col min="2062" max="2062" width="38.140625" style="412" customWidth="1"/>
    <col min="2063" max="2063" width="9.5703125" style="412" customWidth="1"/>
    <col min="2064" max="2064" width="9.7109375" style="412" customWidth="1"/>
    <col min="2065" max="2065" width="1.5703125" style="412" customWidth="1"/>
    <col min="2066" max="2068" width="0" style="412" hidden="1" customWidth="1"/>
    <col min="2069" max="2077" width="8.5703125" style="412" customWidth="1"/>
    <col min="2078" max="2092" width="0" style="412" hidden="1" customWidth="1"/>
    <col min="2093" max="2093" width="1.5703125" style="412" customWidth="1"/>
    <col min="2094" max="2094" width="9.7109375" style="412" customWidth="1"/>
    <col min="2095" max="2095" width="9.28515625" style="412" customWidth="1"/>
    <col min="2096" max="2098" width="9.7109375" style="412" customWidth="1"/>
    <col min="2099" max="2101" width="0" style="412" hidden="1" customWidth="1"/>
    <col min="2102" max="2102" width="1.5703125" style="412" customWidth="1"/>
    <col min="2103" max="2316" width="9.140625" style="412"/>
    <col min="2317" max="2317" width="2.7109375" style="412" customWidth="1"/>
    <col min="2318" max="2318" width="38.140625" style="412" customWidth="1"/>
    <col min="2319" max="2319" width="9.5703125" style="412" customWidth="1"/>
    <col min="2320" max="2320" width="9.7109375" style="412" customWidth="1"/>
    <col min="2321" max="2321" width="1.5703125" style="412" customWidth="1"/>
    <col min="2322" max="2324" width="0" style="412" hidden="1" customWidth="1"/>
    <col min="2325" max="2333" width="8.5703125" style="412" customWidth="1"/>
    <col min="2334" max="2348" width="0" style="412" hidden="1" customWidth="1"/>
    <col min="2349" max="2349" width="1.5703125" style="412" customWidth="1"/>
    <col min="2350" max="2350" width="9.7109375" style="412" customWidth="1"/>
    <col min="2351" max="2351" width="9.28515625" style="412" customWidth="1"/>
    <col min="2352" max="2354" width="9.7109375" style="412" customWidth="1"/>
    <col min="2355" max="2357" width="0" style="412" hidden="1" customWidth="1"/>
    <col min="2358" max="2358" width="1.5703125" style="412" customWidth="1"/>
    <col min="2359" max="2572" width="9.140625" style="412"/>
    <col min="2573" max="2573" width="2.7109375" style="412" customWidth="1"/>
    <col min="2574" max="2574" width="38.140625" style="412" customWidth="1"/>
    <col min="2575" max="2575" width="9.5703125" style="412" customWidth="1"/>
    <col min="2576" max="2576" width="9.7109375" style="412" customWidth="1"/>
    <col min="2577" max="2577" width="1.5703125" style="412" customWidth="1"/>
    <col min="2578" max="2580" width="0" style="412" hidden="1" customWidth="1"/>
    <col min="2581" max="2589" width="8.5703125" style="412" customWidth="1"/>
    <col min="2590" max="2604" width="0" style="412" hidden="1" customWidth="1"/>
    <col min="2605" max="2605" width="1.5703125" style="412" customWidth="1"/>
    <col min="2606" max="2606" width="9.7109375" style="412" customWidth="1"/>
    <col min="2607" max="2607" width="9.28515625" style="412" customWidth="1"/>
    <col min="2608" max="2610" width="9.7109375" style="412" customWidth="1"/>
    <col min="2611" max="2613" width="0" style="412" hidden="1" customWidth="1"/>
    <col min="2614" max="2614" width="1.5703125" style="412" customWidth="1"/>
    <col min="2615" max="2828" width="9.140625" style="412"/>
    <col min="2829" max="2829" width="2.7109375" style="412" customWidth="1"/>
    <col min="2830" max="2830" width="38.140625" style="412" customWidth="1"/>
    <col min="2831" max="2831" width="9.5703125" style="412" customWidth="1"/>
    <col min="2832" max="2832" width="9.7109375" style="412" customWidth="1"/>
    <col min="2833" max="2833" width="1.5703125" style="412" customWidth="1"/>
    <col min="2834" max="2836" width="0" style="412" hidden="1" customWidth="1"/>
    <col min="2837" max="2845" width="8.5703125" style="412" customWidth="1"/>
    <col min="2846" max="2860" width="0" style="412" hidden="1" customWidth="1"/>
    <col min="2861" max="2861" width="1.5703125" style="412" customWidth="1"/>
    <col min="2862" max="2862" width="9.7109375" style="412" customWidth="1"/>
    <col min="2863" max="2863" width="9.28515625" style="412" customWidth="1"/>
    <col min="2864" max="2866" width="9.7109375" style="412" customWidth="1"/>
    <col min="2867" max="2869" width="0" style="412" hidden="1" customWidth="1"/>
    <col min="2870" max="2870" width="1.5703125" style="412" customWidth="1"/>
    <col min="2871" max="3084" width="9.140625" style="412"/>
    <col min="3085" max="3085" width="2.7109375" style="412" customWidth="1"/>
    <col min="3086" max="3086" width="38.140625" style="412" customWidth="1"/>
    <col min="3087" max="3087" width="9.5703125" style="412" customWidth="1"/>
    <col min="3088" max="3088" width="9.7109375" style="412" customWidth="1"/>
    <col min="3089" max="3089" width="1.5703125" style="412" customWidth="1"/>
    <col min="3090" max="3092" width="0" style="412" hidden="1" customWidth="1"/>
    <col min="3093" max="3101" width="8.5703125" style="412" customWidth="1"/>
    <col min="3102" max="3116" width="0" style="412" hidden="1" customWidth="1"/>
    <col min="3117" max="3117" width="1.5703125" style="412" customWidth="1"/>
    <col min="3118" max="3118" width="9.7109375" style="412" customWidth="1"/>
    <col min="3119" max="3119" width="9.28515625" style="412" customWidth="1"/>
    <col min="3120" max="3122" width="9.7109375" style="412" customWidth="1"/>
    <col min="3123" max="3125" width="0" style="412" hidden="1" customWidth="1"/>
    <col min="3126" max="3126" width="1.5703125" style="412" customWidth="1"/>
    <col min="3127" max="3340" width="9.140625" style="412"/>
    <col min="3341" max="3341" width="2.7109375" style="412" customWidth="1"/>
    <col min="3342" max="3342" width="38.140625" style="412" customWidth="1"/>
    <col min="3343" max="3343" width="9.5703125" style="412" customWidth="1"/>
    <col min="3344" max="3344" width="9.7109375" style="412" customWidth="1"/>
    <col min="3345" max="3345" width="1.5703125" style="412" customWidth="1"/>
    <col min="3346" max="3348" width="0" style="412" hidden="1" customWidth="1"/>
    <col min="3349" max="3357" width="8.5703125" style="412" customWidth="1"/>
    <col min="3358" max="3372" width="0" style="412" hidden="1" customWidth="1"/>
    <col min="3373" max="3373" width="1.5703125" style="412" customWidth="1"/>
    <col min="3374" max="3374" width="9.7109375" style="412" customWidth="1"/>
    <col min="3375" max="3375" width="9.28515625" style="412" customWidth="1"/>
    <col min="3376" max="3378" width="9.7109375" style="412" customWidth="1"/>
    <col min="3379" max="3381" width="0" style="412" hidden="1" customWidth="1"/>
    <col min="3382" max="3382" width="1.5703125" style="412" customWidth="1"/>
    <col min="3383" max="3596" width="9.140625" style="412"/>
    <col min="3597" max="3597" width="2.7109375" style="412" customWidth="1"/>
    <col min="3598" max="3598" width="38.140625" style="412" customWidth="1"/>
    <col min="3599" max="3599" width="9.5703125" style="412" customWidth="1"/>
    <col min="3600" max="3600" width="9.7109375" style="412" customWidth="1"/>
    <col min="3601" max="3601" width="1.5703125" style="412" customWidth="1"/>
    <col min="3602" max="3604" width="0" style="412" hidden="1" customWidth="1"/>
    <col min="3605" max="3613" width="8.5703125" style="412" customWidth="1"/>
    <col min="3614" max="3628" width="0" style="412" hidden="1" customWidth="1"/>
    <col min="3629" max="3629" width="1.5703125" style="412" customWidth="1"/>
    <col min="3630" max="3630" width="9.7109375" style="412" customWidth="1"/>
    <col min="3631" max="3631" width="9.28515625" style="412" customWidth="1"/>
    <col min="3632" max="3634" width="9.7109375" style="412" customWidth="1"/>
    <col min="3635" max="3637" width="0" style="412" hidden="1" customWidth="1"/>
    <col min="3638" max="3638" width="1.5703125" style="412" customWidth="1"/>
    <col min="3639" max="3852" width="9.140625" style="412"/>
    <col min="3853" max="3853" width="2.7109375" style="412" customWidth="1"/>
    <col min="3854" max="3854" width="38.140625" style="412" customWidth="1"/>
    <col min="3855" max="3855" width="9.5703125" style="412" customWidth="1"/>
    <col min="3856" max="3856" width="9.7109375" style="412" customWidth="1"/>
    <col min="3857" max="3857" width="1.5703125" style="412" customWidth="1"/>
    <col min="3858" max="3860" width="0" style="412" hidden="1" customWidth="1"/>
    <col min="3861" max="3869" width="8.5703125" style="412" customWidth="1"/>
    <col min="3870" max="3884" width="0" style="412" hidden="1" customWidth="1"/>
    <col min="3885" max="3885" width="1.5703125" style="412" customWidth="1"/>
    <col min="3886" max="3886" width="9.7109375" style="412" customWidth="1"/>
    <col min="3887" max="3887" width="9.28515625" style="412" customWidth="1"/>
    <col min="3888" max="3890" width="9.7109375" style="412" customWidth="1"/>
    <col min="3891" max="3893" width="0" style="412" hidden="1" customWidth="1"/>
    <col min="3894" max="3894" width="1.5703125" style="412" customWidth="1"/>
    <col min="3895" max="4108" width="9.140625" style="412"/>
    <col min="4109" max="4109" width="2.7109375" style="412" customWidth="1"/>
    <col min="4110" max="4110" width="38.140625" style="412" customWidth="1"/>
    <col min="4111" max="4111" width="9.5703125" style="412" customWidth="1"/>
    <col min="4112" max="4112" width="9.7109375" style="412" customWidth="1"/>
    <col min="4113" max="4113" width="1.5703125" style="412" customWidth="1"/>
    <col min="4114" max="4116" width="0" style="412" hidden="1" customWidth="1"/>
    <col min="4117" max="4125" width="8.5703125" style="412" customWidth="1"/>
    <col min="4126" max="4140" width="0" style="412" hidden="1" customWidth="1"/>
    <col min="4141" max="4141" width="1.5703125" style="412" customWidth="1"/>
    <col min="4142" max="4142" width="9.7109375" style="412" customWidth="1"/>
    <col min="4143" max="4143" width="9.28515625" style="412" customWidth="1"/>
    <col min="4144" max="4146" width="9.7109375" style="412" customWidth="1"/>
    <col min="4147" max="4149" width="0" style="412" hidden="1" customWidth="1"/>
    <col min="4150" max="4150" width="1.5703125" style="412" customWidth="1"/>
    <col min="4151" max="4364" width="9.140625" style="412"/>
    <col min="4365" max="4365" width="2.7109375" style="412" customWidth="1"/>
    <col min="4366" max="4366" width="38.140625" style="412" customWidth="1"/>
    <col min="4367" max="4367" width="9.5703125" style="412" customWidth="1"/>
    <col min="4368" max="4368" width="9.7109375" style="412" customWidth="1"/>
    <col min="4369" max="4369" width="1.5703125" style="412" customWidth="1"/>
    <col min="4370" max="4372" width="0" style="412" hidden="1" customWidth="1"/>
    <col min="4373" max="4381" width="8.5703125" style="412" customWidth="1"/>
    <col min="4382" max="4396" width="0" style="412" hidden="1" customWidth="1"/>
    <col min="4397" max="4397" width="1.5703125" style="412" customWidth="1"/>
    <col min="4398" max="4398" width="9.7109375" style="412" customWidth="1"/>
    <col min="4399" max="4399" width="9.28515625" style="412" customWidth="1"/>
    <col min="4400" max="4402" width="9.7109375" style="412" customWidth="1"/>
    <col min="4403" max="4405" width="0" style="412" hidden="1" customWidth="1"/>
    <col min="4406" max="4406" width="1.5703125" style="412" customWidth="1"/>
    <col min="4407" max="4620" width="9.140625" style="412"/>
    <col min="4621" max="4621" width="2.7109375" style="412" customWidth="1"/>
    <col min="4622" max="4622" width="38.140625" style="412" customWidth="1"/>
    <col min="4623" max="4623" width="9.5703125" style="412" customWidth="1"/>
    <col min="4624" max="4624" width="9.7109375" style="412" customWidth="1"/>
    <col min="4625" max="4625" width="1.5703125" style="412" customWidth="1"/>
    <col min="4626" max="4628" width="0" style="412" hidden="1" customWidth="1"/>
    <col min="4629" max="4637" width="8.5703125" style="412" customWidth="1"/>
    <col min="4638" max="4652" width="0" style="412" hidden="1" customWidth="1"/>
    <col min="4653" max="4653" width="1.5703125" style="412" customWidth="1"/>
    <col min="4654" max="4654" width="9.7109375" style="412" customWidth="1"/>
    <col min="4655" max="4655" width="9.28515625" style="412" customWidth="1"/>
    <col min="4656" max="4658" width="9.7109375" style="412" customWidth="1"/>
    <col min="4659" max="4661" width="0" style="412" hidden="1" customWidth="1"/>
    <col min="4662" max="4662" width="1.5703125" style="412" customWidth="1"/>
    <col min="4663" max="4876" width="9.140625" style="412"/>
    <col min="4877" max="4877" width="2.7109375" style="412" customWidth="1"/>
    <col min="4878" max="4878" width="38.140625" style="412" customWidth="1"/>
    <col min="4879" max="4879" width="9.5703125" style="412" customWidth="1"/>
    <col min="4880" max="4880" width="9.7109375" style="412" customWidth="1"/>
    <col min="4881" max="4881" width="1.5703125" style="412" customWidth="1"/>
    <col min="4882" max="4884" width="0" style="412" hidden="1" customWidth="1"/>
    <col min="4885" max="4893" width="8.5703125" style="412" customWidth="1"/>
    <col min="4894" max="4908" width="0" style="412" hidden="1" customWidth="1"/>
    <col min="4909" max="4909" width="1.5703125" style="412" customWidth="1"/>
    <col min="4910" max="4910" width="9.7109375" style="412" customWidth="1"/>
    <col min="4911" max="4911" width="9.28515625" style="412" customWidth="1"/>
    <col min="4912" max="4914" width="9.7109375" style="412" customWidth="1"/>
    <col min="4915" max="4917" width="0" style="412" hidden="1" customWidth="1"/>
    <col min="4918" max="4918" width="1.5703125" style="412" customWidth="1"/>
    <col min="4919" max="5132" width="9.140625" style="412"/>
    <col min="5133" max="5133" width="2.7109375" style="412" customWidth="1"/>
    <col min="5134" max="5134" width="38.140625" style="412" customWidth="1"/>
    <col min="5135" max="5135" width="9.5703125" style="412" customWidth="1"/>
    <col min="5136" max="5136" width="9.7109375" style="412" customWidth="1"/>
    <col min="5137" max="5137" width="1.5703125" style="412" customWidth="1"/>
    <col min="5138" max="5140" width="0" style="412" hidden="1" customWidth="1"/>
    <col min="5141" max="5149" width="8.5703125" style="412" customWidth="1"/>
    <col min="5150" max="5164" width="0" style="412" hidden="1" customWidth="1"/>
    <col min="5165" max="5165" width="1.5703125" style="412" customWidth="1"/>
    <col min="5166" max="5166" width="9.7109375" style="412" customWidth="1"/>
    <col min="5167" max="5167" width="9.28515625" style="412" customWidth="1"/>
    <col min="5168" max="5170" width="9.7109375" style="412" customWidth="1"/>
    <col min="5171" max="5173" width="0" style="412" hidden="1" customWidth="1"/>
    <col min="5174" max="5174" width="1.5703125" style="412" customWidth="1"/>
    <col min="5175" max="5388" width="9.140625" style="412"/>
    <col min="5389" max="5389" width="2.7109375" style="412" customWidth="1"/>
    <col min="5390" max="5390" width="38.140625" style="412" customWidth="1"/>
    <col min="5391" max="5391" width="9.5703125" style="412" customWidth="1"/>
    <col min="5392" max="5392" width="9.7109375" style="412" customWidth="1"/>
    <col min="5393" max="5393" width="1.5703125" style="412" customWidth="1"/>
    <col min="5394" max="5396" width="0" style="412" hidden="1" customWidth="1"/>
    <col min="5397" max="5405" width="8.5703125" style="412" customWidth="1"/>
    <col min="5406" max="5420" width="0" style="412" hidden="1" customWidth="1"/>
    <col min="5421" max="5421" width="1.5703125" style="412" customWidth="1"/>
    <col min="5422" max="5422" width="9.7109375" style="412" customWidth="1"/>
    <col min="5423" max="5423" width="9.28515625" style="412" customWidth="1"/>
    <col min="5424" max="5426" width="9.7109375" style="412" customWidth="1"/>
    <col min="5427" max="5429" width="0" style="412" hidden="1" customWidth="1"/>
    <col min="5430" max="5430" width="1.5703125" style="412" customWidth="1"/>
    <col min="5431" max="5644" width="9.140625" style="412"/>
    <col min="5645" max="5645" width="2.7109375" style="412" customWidth="1"/>
    <col min="5646" max="5646" width="38.140625" style="412" customWidth="1"/>
    <col min="5647" max="5647" width="9.5703125" style="412" customWidth="1"/>
    <col min="5648" max="5648" width="9.7109375" style="412" customWidth="1"/>
    <col min="5649" max="5649" width="1.5703125" style="412" customWidth="1"/>
    <col min="5650" max="5652" width="0" style="412" hidden="1" customWidth="1"/>
    <col min="5653" max="5661" width="8.5703125" style="412" customWidth="1"/>
    <col min="5662" max="5676" width="0" style="412" hidden="1" customWidth="1"/>
    <col min="5677" max="5677" width="1.5703125" style="412" customWidth="1"/>
    <col min="5678" max="5678" width="9.7109375" style="412" customWidth="1"/>
    <col min="5679" max="5679" width="9.28515625" style="412" customWidth="1"/>
    <col min="5680" max="5682" width="9.7109375" style="412" customWidth="1"/>
    <col min="5683" max="5685" width="0" style="412" hidden="1" customWidth="1"/>
    <col min="5686" max="5686" width="1.5703125" style="412" customWidth="1"/>
    <col min="5687" max="5900" width="9.140625" style="412"/>
    <col min="5901" max="5901" width="2.7109375" style="412" customWidth="1"/>
    <col min="5902" max="5902" width="38.140625" style="412" customWidth="1"/>
    <col min="5903" max="5903" width="9.5703125" style="412" customWidth="1"/>
    <col min="5904" max="5904" width="9.7109375" style="412" customWidth="1"/>
    <col min="5905" max="5905" width="1.5703125" style="412" customWidth="1"/>
    <col min="5906" max="5908" width="0" style="412" hidden="1" customWidth="1"/>
    <col min="5909" max="5917" width="8.5703125" style="412" customWidth="1"/>
    <col min="5918" max="5932" width="0" style="412" hidden="1" customWidth="1"/>
    <col min="5933" max="5933" width="1.5703125" style="412" customWidth="1"/>
    <col min="5934" max="5934" width="9.7109375" style="412" customWidth="1"/>
    <col min="5935" max="5935" width="9.28515625" style="412" customWidth="1"/>
    <col min="5936" max="5938" width="9.7109375" style="412" customWidth="1"/>
    <col min="5939" max="5941" width="0" style="412" hidden="1" customWidth="1"/>
    <col min="5942" max="5942" width="1.5703125" style="412" customWidth="1"/>
    <col min="5943" max="6156" width="9.140625" style="412"/>
    <col min="6157" max="6157" width="2.7109375" style="412" customWidth="1"/>
    <col min="6158" max="6158" width="38.140625" style="412" customWidth="1"/>
    <col min="6159" max="6159" width="9.5703125" style="412" customWidth="1"/>
    <col min="6160" max="6160" width="9.7109375" style="412" customWidth="1"/>
    <col min="6161" max="6161" width="1.5703125" style="412" customWidth="1"/>
    <col min="6162" max="6164" width="0" style="412" hidden="1" customWidth="1"/>
    <col min="6165" max="6173" width="8.5703125" style="412" customWidth="1"/>
    <col min="6174" max="6188" width="0" style="412" hidden="1" customWidth="1"/>
    <col min="6189" max="6189" width="1.5703125" style="412" customWidth="1"/>
    <col min="6190" max="6190" width="9.7109375" style="412" customWidth="1"/>
    <col min="6191" max="6191" width="9.28515625" style="412" customWidth="1"/>
    <col min="6192" max="6194" width="9.7109375" style="412" customWidth="1"/>
    <col min="6195" max="6197" width="0" style="412" hidden="1" customWidth="1"/>
    <col min="6198" max="6198" width="1.5703125" style="412" customWidth="1"/>
    <col min="6199" max="6412" width="9.140625" style="412"/>
    <col min="6413" max="6413" width="2.7109375" style="412" customWidth="1"/>
    <col min="6414" max="6414" width="38.140625" style="412" customWidth="1"/>
    <col min="6415" max="6415" width="9.5703125" style="412" customWidth="1"/>
    <col min="6416" max="6416" width="9.7109375" style="412" customWidth="1"/>
    <col min="6417" max="6417" width="1.5703125" style="412" customWidth="1"/>
    <col min="6418" max="6420" width="0" style="412" hidden="1" customWidth="1"/>
    <col min="6421" max="6429" width="8.5703125" style="412" customWidth="1"/>
    <col min="6430" max="6444" width="0" style="412" hidden="1" customWidth="1"/>
    <col min="6445" max="6445" width="1.5703125" style="412" customWidth="1"/>
    <col min="6446" max="6446" width="9.7109375" style="412" customWidth="1"/>
    <col min="6447" max="6447" width="9.28515625" style="412" customWidth="1"/>
    <col min="6448" max="6450" width="9.7109375" style="412" customWidth="1"/>
    <col min="6451" max="6453" width="0" style="412" hidden="1" customWidth="1"/>
    <col min="6454" max="6454" width="1.5703125" style="412" customWidth="1"/>
    <col min="6455" max="6668" width="9.140625" style="412"/>
    <col min="6669" max="6669" width="2.7109375" style="412" customWidth="1"/>
    <col min="6670" max="6670" width="38.140625" style="412" customWidth="1"/>
    <col min="6671" max="6671" width="9.5703125" style="412" customWidth="1"/>
    <col min="6672" max="6672" width="9.7109375" style="412" customWidth="1"/>
    <col min="6673" max="6673" width="1.5703125" style="412" customWidth="1"/>
    <col min="6674" max="6676" width="0" style="412" hidden="1" customWidth="1"/>
    <col min="6677" max="6685" width="8.5703125" style="412" customWidth="1"/>
    <col min="6686" max="6700" width="0" style="412" hidden="1" customWidth="1"/>
    <col min="6701" max="6701" width="1.5703125" style="412" customWidth="1"/>
    <col min="6702" max="6702" width="9.7109375" style="412" customWidth="1"/>
    <col min="6703" max="6703" width="9.28515625" style="412" customWidth="1"/>
    <col min="6704" max="6706" width="9.7109375" style="412" customWidth="1"/>
    <col min="6707" max="6709" width="0" style="412" hidden="1" customWidth="1"/>
    <col min="6710" max="6710" width="1.5703125" style="412" customWidth="1"/>
    <col min="6711" max="6924" width="9.140625" style="412"/>
    <col min="6925" max="6925" width="2.7109375" style="412" customWidth="1"/>
    <col min="6926" max="6926" width="38.140625" style="412" customWidth="1"/>
    <col min="6927" max="6927" width="9.5703125" style="412" customWidth="1"/>
    <col min="6928" max="6928" width="9.7109375" style="412" customWidth="1"/>
    <col min="6929" max="6929" width="1.5703125" style="412" customWidth="1"/>
    <col min="6930" max="6932" width="0" style="412" hidden="1" customWidth="1"/>
    <col min="6933" max="6941" width="8.5703125" style="412" customWidth="1"/>
    <col min="6942" max="6956" width="0" style="412" hidden="1" customWidth="1"/>
    <col min="6957" max="6957" width="1.5703125" style="412" customWidth="1"/>
    <col min="6958" max="6958" width="9.7109375" style="412" customWidth="1"/>
    <col min="6959" max="6959" width="9.28515625" style="412" customWidth="1"/>
    <col min="6960" max="6962" width="9.7109375" style="412" customWidth="1"/>
    <col min="6963" max="6965" width="0" style="412" hidden="1" customWidth="1"/>
    <col min="6966" max="6966" width="1.5703125" style="412" customWidth="1"/>
    <col min="6967" max="7180" width="9.140625" style="412"/>
    <col min="7181" max="7181" width="2.7109375" style="412" customWidth="1"/>
    <col min="7182" max="7182" width="38.140625" style="412" customWidth="1"/>
    <col min="7183" max="7183" width="9.5703125" style="412" customWidth="1"/>
    <col min="7184" max="7184" width="9.7109375" style="412" customWidth="1"/>
    <col min="7185" max="7185" width="1.5703125" style="412" customWidth="1"/>
    <col min="7186" max="7188" width="0" style="412" hidden="1" customWidth="1"/>
    <col min="7189" max="7197" width="8.5703125" style="412" customWidth="1"/>
    <col min="7198" max="7212" width="0" style="412" hidden="1" customWidth="1"/>
    <col min="7213" max="7213" width="1.5703125" style="412" customWidth="1"/>
    <col min="7214" max="7214" width="9.7109375" style="412" customWidth="1"/>
    <col min="7215" max="7215" width="9.28515625" style="412" customWidth="1"/>
    <col min="7216" max="7218" width="9.7109375" style="412" customWidth="1"/>
    <col min="7219" max="7221" width="0" style="412" hidden="1" customWidth="1"/>
    <col min="7222" max="7222" width="1.5703125" style="412" customWidth="1"/>
    <col min="7223" max="7436" width="9.140625" style="412"/>
    <col min="7437" max="7437" width="2.7109375" style="412" customWidth="1"/>
    <col min="7438" max="7438" width="38.140625" style="412" customWidth="1"/>
    <col min="7439" max="7439" width="9.5703125" style="412" customWidth="1"/>
    <col min="7440" max="7440" width="9.7109375" style="412" customWidth="1"/>
    <col min="7441" max="7441" width="1.5703125" style="412" customWidth="1"/>
    <col min="7442" max="7444" width="0" style="412" hidden="1" customWidth="1"/>
    <col min="7445" max="7453" width="8.5703125" style="412" customWidth="1"/>
    <col min="7454" max="7468" width="0" style="412" hidden="1" customWidth="1"/>
    <col min="7469" max="7469" width="1.5703125" style="412" customWidth="1"/>
    <col min="7470" max="7470" width="9.7109375" style="412" customWidth="1"/>
    <col min="7471" max="7471" width="9.28515625" style="412" customWidth="1"/>
    <col min="7472" max="7474" width="9.7109375" style="412" customWidth="1"/>
    <col min="7475" max="7477" width="0" style="412" hidden="1" customWidth="1"/>
    <col min="7478" max="7478" width="1.5703125" style="412" customWidth="1"/>
    <col min="7479" max="7692" width="9.140625" style="412"/>
    <col min="7693" max="7693" width="2.7109375" style="412" customWidth="1"/>
    <col min="7694" max="7694" width="38.140625" style="412" customWidth="1"/>
    <col min="7695" max="7695" width="9.5703125" style="412" customWidth="1"/>
    <col min="7696" max="7696" width="9.7109375" style="412" customWidth="1"/>
    <col min="7697" max="7697" width="1.5703125" style="412" customWidth="1"/>
    <col min="7698" max="7700" width="0" style="412" hidden="1" customWidth="1"/>
    <col min="7701" max="7709" width="8.5703125" style="412" customWidth="1"/>
    <col min="7710" max="7724" width="0" style="412" hidden="1" customWidth="1"/>
    <col min="7725" max="7725" width="1.5703125" style="412" customWidth="1"/>
    <col min="7726" max="7726" width="9.7109375" style="412" customWidth="1"/>
    <col min="7727" max="7727" width="9.28515625" style="412" customWidth="1"/>
    <col min="7728" max="7730" width="9.7109375" style="412" customWidth="1"/>
    <col min="7731" max="7733" width="0" style="412" hidden="1" customWidth="1"/>
    <col min="7734" max="7734" width="1.5703125" style="412" customWidth="1"/>
    <col min="7735" max="7948" width="9.140625" style="412"/>
    <col min="7949" max="7949" width="2.7109375" style="412" customWidth="1"/>
    <col min="7950" max="7950" width="38.140625" style="412" customWidth="1"/>
    <col min="7951" max="7951" width="9.5703125" style="412" customWidth="1"/>
    <col min="7952" max="7952" width="9.7109375" style="412" customWidth="1"/>
    <col min="7953" max="7953" width="1.5703125" style="412" customWidth="1"/>
    <col min="7954" max="7956" width="0" style="412" hidden="1" customWidth="1"/>
    <col min="7957" max="7965" width="8.5703125" style="412" customWidth="1"/>
    <col min="7966" max="7980" width="0" style="412" hidden="1" customWidth="1"/>
    <col min="7981" max="7981" width="1.5703125" style="412" customWidth="1"/>
    <col min="7982" max="7982" width="9.7109375" style="412" customWidth="1"/>
    <col min="7983" max="7983" width="9.28515625" style="412" customWidth="1"/>
    <col min="7984" max="7986" width="9.7109375" style="412" customWidth="1"/>
    <col min="7987" max="7989" width="0" style="412" hidden="1" customWidth="1"/>
    <col min="7990" max="7990" width="1.5703125" style="412" customWidth="1"/>
    <col min="7991" max="8204" width="9.140625" style="412"/>
    <col min="8205" max="8205" width="2.7109375" style="412" customWidth="1"/>
    <col min="8206" max="8206" width="38.140625" style="412" customWidth="1"/>
    <col min="8207" max="8207" width="9.5703125" style="412" customWidth="1"/>
    <col min="8208" max="8208" width="9.7109375" style="412" customWidth="1"/>
    <col min="8209" max="8209" width="1.5703125" style="412" customWidth="1"/>
    <col min="8210" max="8212" width="0" style="412" hidden="1" customWidth="1"/>
    <col min="8213" max="8221" width="8.5703125" style="412" customWidth="1"/>
    <col min="8222" max="8236" width="0" style="412" hidden="1" customWidth="1"/>
    <col min="8237" max="8237" width="1.5703125" style="412" customWidth="1"/>
    <col min="8238" max="8238" width="9.7109375" style="412" customWidth="1"/>
    <col min="8239" max="8239" width="9.28515625" style="412" customWidth="1"/>
    <col min="8240" max="8242" width="9.7109375" style="412" customWidth="1"/>
    <col min="8243" max="8245" width="0" style="412" hidden="1" customWidth="1"/>
    <col min="8246" max="8246" width="1.5703125" style="412" customWidth="1"/>
    <col min="8247" max="8460" width="9.140625" style="412"/>
    <col min="8461" max="8461" width="2.7109375" style="412" customWidth="1"/>
    <col min="8462" max="8462" width="38.140625" style="412" customWidth="1"/>
    <col min="8463" max="8463" width="9.5703125" style="412" customWidth="1"/>
    <col min="8464" max="8464" width="9.7109375" style="412" customWidth="1"/>
    <col min="8465" max="8465" width="1.5703125" style="412" customWidth="1"/>
    <col min="8466" max="8468" width="0" style="412" hidden="1" customWidth="1"/>
    <col min="8469" max="8477" width="8.5703125" style="412" customWidth="1"/>
    <col min="8478" max="8492" width="0" style="412" hidden="1" customWidth="1"/>
    <col min="8493" max="8493" width="1.5703125" style="412" customWidth="1"/>
    <col min="8494" max="8494" width="9.7109375" style="412" customWidth="1"/>
    <col min="8495" max="8495" width="9.28515625" style="412" customWidth="1"/>
    <col min="8496" max="8498" width="9.7109375" style="412" customWidth="1"/>
    <col min="8499" max="8501" width="0" style="412" hidden="1" customWidth="1"/>
    <col min="8502" max="8502" width="1.5703125" style="412" customWidth="1"/>
    <col min="8503" max="8716" width="9.140625" style="412"/>
    <col min="8717" max="8717" width="2.7109375" style="412" customWidth="1"/>
    <col min="8718" max="8718" width="38.140625" style="412" customWidth="1"/>
    <col min="8719" max="8719" width="9.5703125" style="412" customWidth="1"/>
    <col min="8720" max="8720" width="9.7109375" style="412" customWidth="1"/>
    <col min="8721" max="8721" width="1.5703125" style="412" customWidth="1"/>
    <col min="8722" max="8724" width="0" style="412" hidden="1" customWidth="1"/>
    <col min="8725" max="8733" width="8.5703125" style="412" customWidth="1"/>
    <col min="8734" max="8748" width="0" style="412" hidden="1" customWidth="1"/>
    <col min="8749" max="8749" width="1.5703125" style="412" customWidth="1"/>
    <col min="8750" max="8750" width="9.7109375" style="412" customWidth="1"/>
    <col min="8751" max="8751" width="9.28515625" style="412" customWidth="1"/>
    <col min="8752" max="8754" width="9.7109375" style="412" customWidth="1"/>
    <col min="8755" max="8757" width="0" style="412" hidden="1" customWidth="1"/>
    <col min="8758" max="8758" width="1.5703125" style="412" customWidth="1"/>
    <col min="8759" max="8972" width="9.140625" style="412"/>
    <col min="8973" max="8973" width="2.7109375" style="412" customWidth="1"/>
    <col min="8974" max="8974" width="38.140625" style="412" customWidth="1"/>
    <col min="8975" max="8975" width="9.5703125" style="412" customWidth="1"/>
    <col min="8976" max="8976" width="9.7109375" style="412" customWidth="1"/>
    <col min="8977" max="8977" width="1.5703125" style="412" customWidth="1"/>
    <col min="8978" max="8980" width="0" style="412" hidden="1" customWidth="1"/>
    <col min="8981" max="8989" width="8.5703125" style="412" customWidth="1"/>
    <col min="8990" max="9004" width="0" style="412" hidden="1" customWidth="1"/>
    <col min="9005" max="9005" width="1.5703125" style="412" customWidth="1"/>
    <col min="9006" max="9006" width="9.7109375" style="412" customWidth="1"/>
    <col min="9007" max="9007" width="9.28515625" style="412" customWidth="1"/>
    <col min="9008" max="9010" width="9.7109375" style="412" customWidth="1"/>
    <col min="9011" max="9013" width="0" style="412" hidden="1" customWidth="1"/>
    <col min="9014" max="9014" width="1.5703125" style="412" customWidth="1"/>
    <col min="9015" max="9228" width="9.140625" style="412"/>
    <col min="9229" max="9229" width="2.7109375" style="412" customWidth="1"/>
    <col min="9230" max="9230" width="38.140625" style="412" customWidth="1"/>
    <col min="9231" max="9231" width="9.5703125" style="412" customWidth="1"/>
    <col min="9232" max="9232" width="9.7109375" style="412" customWidth="1"/>
    <col min="9233" max="9233" width="1.5703125" style="412" customWidth="1"/>
    <col min="9234" max="9236" width="0" style="412" hidden="1" customWidth="1"/>
    <col min="9237" max="9245" width="8.5703125" style="412" customWidth="1"/>
    <col min="9246" max="9260" width="0" style="412" hidden="1" customWidth="1"/>
    <col min="9261" max="9261" width="1.5703125" style="412" customWidth="1"/>
    <col min="9262" max="9262" width="9.7109375" style="412" customWidth="1"/>
    <col min="9263" max="9263" width="9.28515625" style="412" customWidth="1"/>
    <col min="9264" max="9266" width="9.7109375" style="412" customWidth="1"/>
    <col min="9267" max="9269" width="0" style="412" hidden="1" customWidth="1"/>
    <col min="9270" max="9270" width="1.5703125" style="412" customWidth="1"/>
    <col min="9271" max="9484" width="9.140625" style="412"/>
    <col min="9485" max="9485" width="2.7109375" style="412" customWidth="1"/>
    <col min="9486" max="9486" width="38.140625" style="412" customWidth="1"/>
    <col min="9487" max="9487" width="9.5703125" style="412" customWidth="1"/>
    <col min="9488" max="9488" width="9.7109375" style="412" customWidth="1"/>
    <col min="9489" max="9489" width="1.5703125" style="412" customWidth="1"/>
    <col min="9490" max="9492" width="0" style="412" hidden="1" customWidth="1"/>
    <col min="9493" max="9501" width="8.5703125" style="412" customWidth="1"/>
    <col min="9502" max="9516" width="0" style="412" hidden="1" customWidth="1"/>
    <col min="9517" max="9517" width="1.5703125" style="412" customWidth="1"/>
    <col min="9518" max="9518" width="9.7109375" style="412" customWidth="1"/>
    <col min="9519" max="9519" width="9.28515625" style="412" customWidth="1"/>
    <col min="9520" max="9522" width="9.7109375" style="412" customWidth="1"/>
    <col min="9523" max="9525" width="0" style="412" hidden="1" customWidth="1"/>
    <col min="9526" max="9526" width="1.5703125" style="412" customWidth="1"/>
    <col min="9527" max="9740" width="9.140625" style="412"/>
    <col min="9741" max="9741" width="2.7109375" style="412" customWidth="1"/>
    <col min="9742" max="9742" width="38.140625" style="412" customWidth="1"/>
    <col min="9743" max="9743" width="9.5703125" style="412" customWidth="1"/>
    <col min="9744" max="9744" width="9.7109375" style="412" customWidth="1"/>
    <col min="9745" max="9745" width="1.5703125" style="412" customWidth="1"/>
    <col min="9746" max="9748" width="0" style="412" hidden="1" customWidth="1"/>
    <col min="9749" max="9757" width="8.5703125" style="412" customWidth="1"/>
    <col min="9758" max="9772" width="0" style="412" hidden="1" customWidth="1"/>
    <col min="9773" max="9773" width="1.5703125" style="412" customWidth="1"/>
    <col min="9774" max="9774" width="9.7109375" style="412" customWidth="1"/>
    <col min="9775" max="9775" width="9.28515625" style="412" customWidth="1"/>
    <col min="9776" max="9778" width="9.7109375" style="412" customWidth="1"/>
    <col min="9779" max="9781" width="0" style="412" hidden="1" customWidth="1"/>
    <col min="9782" max="9782" width="1.5703125" style="412" customWidth="1"/>
    <col min="9783" max="9996" width="9.140625" style="412"/>
    <col min="9997" max="9997" width="2.7109375" style="412" customWidth="1"/>
    <col min="9998" max="9998" width="38.140625" style="412" customWidth="1"/>
    <col min="9999" max="9999" width="9.5703125" style="412" customWidth="1"/>
    <col min="10000" max="10000" width="9.7109375" style="412" customWidth="1"/>
    <col min="10001" max="10001" width="1.5703125" style="412" customWidth="1"/>
    <col min="10002" max="10004" width="0" style="412" hidden="1" customWidth="1"/>
    <col min="10005" max="10013" width="8.5703125" style="412" customWidth="1"/>
    <col min="10014" max="10028" width="0" style="412" hidden="1" customWidth="1"/>
    <col min="10029" max="10029" width="1.5703125" style="412" customWidth="1"/>
    <col min="10030" max="10030" width="9.7109375" style="412" customWidth="1"/>
    <col min="10031" max="10031" width="9.28515625" style="412" customWidth="1"/>
    <col min="10032" max="10034" width="9.7109375" style="412" customWidth="1"/>
    <col min="10035" max="10037" width="0" style="412" hidden="1" customWidth="1"/>
    <col min="10038" max="10038" width="1.5703125" style="412" customWidth="1"/>
    <col min="10039" max="10252" width="9.140625" style="412"/>
    <col min="10253" max="10253" width="2.7109375" style="412" customWidth="1"/>
    <col min="10254" max="10254" width="38.140625" style="412" customWidth="1"/>
    <col min="10255" max="10255" width="9.5703125" style="412" customWidth="1"/>
    <col min="10256" max="10256" width="9.7109375" style="412" customWidth="1"/>
    <col min="10257" max="10257" width="1.5703125" style="412" customWidth="1"/>
    <col min="10258" max="10260" width="0" style="412" hidden="1" customWidth="1"/>
    <col min="10261" max="10269" width="8.5703125" style="412" customWidth="1"/>
    <col min="10270" max="10284" width="0" style="412" hidden="1" customWidth="1"/>
    <col min="10285" max="10285" width="1.5703125" style="412" customWidth="1"/>
    <col min="10286" max="10286" width="9.7109375" style="412" customWidth="1"/>
    <col min="10287" max="10287" width="9.28515625" style="412" customWidth="1"/>
    <col min="10288" max="10290" width="9.7109375" style="412" customWidth="1"/>
    <col min="10291" max="10293" width="0" style="412" hidden="1" customWidth="1"/>
    <col min="10294" max="10294" width="1.5703125" style="412" customWidth="1"/>
    <col min="10295" max="10508" width="9.140625" style="412"/>
    <col min="10509" max="10509" width="2.7109375" style="412" customWidth="1"/>
    <col min="10510" max="10510" width="38.140625" style="412" customWidth="1"/>
    <col min="10511" max="10511" width="9.5703125" style="412" customWidth="1"/>
    <col min="10512" max="10512" width="9.7109375" style="412" customWidth="1"/>
    <col min="10513" max="10513" width="1.5703125" style="412" customWidth="1"/>
    <col min="10514" max="10516" width="0" style="412" hidden="1" customWidth="1"/>
    <col min="10517" max="10525" width="8.5703125" style="412" customWidth="1"/>
    <col min="10526" max="10540" width="0" style="412" hidden="1" customWidth="1"/>
    <col min="10541" max="10541" width="1.5703125" style="412" customWidth="1"/>
    <col min="10542" max="10542" width="9.7109375" style="412" customWidth="1"/>
    <col min="10543" max="10543" width="9.28515625" style="412" customWidth="1"/>
    <col min="10544" max="10546" width="9.7109375" style="412" customWidth="1"/>
    <col min="10547" max="10549" width="0" style="412" hidden="1" customWidth="1"/>
    <col min="10550" max="10550" width="1.5703125" style="412" customWidth="1"/>
    <col min="10551" max="10764" width="9.140625" style="412"/>
    <col min="10765" max="10765" width="2.7109375" style="412" customWidth="1"/>
    <col min="10766" max="10766" width="38.140625" style="412" customWidth="1"/>
    <col min="10767" max="10767" width="9.5703125" style="412" customWidth="1"/>
    <col min="10768" max="10768" width="9.7109375" style="412" customWidth="1"/>
    <col min="10769" max="10769" width="1.5703125" style="412" customWidth="1"/>
    <col min="10770" max="10772" width="0" style="412" hidden="1" customWidth="1"/>
    <col min="10773" max="10781" width="8.5703125" style="412" customWidth="1"/>
    <col min="10782" max="10796" width="0" style="412" hidden="1" customWidth="1"/>
    <col min="10797" max="10797" width="1.5703125" style="412" customWidth="1"/>
    <col min="10798" max="10798" width="9.7109375" style="412" customWidth="1"/>
    <col min="10799" max="10799" width="9.28515625" style="412" customWidth="1"/>
    <col min="10800" max="10802" width="9.7109375" style="412" customWidth="1"/>
    <col min="10803" max="10805" width="0" style="412" hidden="1" customWidth="1"/>
    <col min="10806" max="10806" width="1.5703125" style="412" customWidth="1"/>
    <col min="10807" max="11020" width="9.140625" style="412"/>
    <col min="11021" max="11021" width="2.7109375" style="412" customWidth="1"/>
    <col min="11022" max="11022" width="38.140625" style="412" customWidth="1"/>
    <col min="11023" max="11023" width="9.5703125" style="412" customWidth="1"/>
    <col min="11024" max="11024" width="9.7109375" style="412" customWidth="1"/>
    <col min="11025" max="11025" width="1.5703125" style="412" customWidth="1"/>
    <col min="11026" max="11028" width="0" style="412" hidden="1" customWidth="1"/>
    <col min="11029" max="11037" width="8.5703125" style="412" customWidth="1"/>
    <col min="11038" max="11052" width="0" style="412" hidden="1" customWidth="1"/>
    <col min="11053" max="11053" width="1.5703125" style="412" customWidth="1"/>
    <col min="11054" max="11054" width="9.7109375" style="412" customWidth="1"/>
    <col min="11055" max="11055" width="9.28515625" style="412" customWidth="1"/>
    <col min="11056" max="11058" width="9.7109375" style="412" customWidth="1"/>
    <col min="11059" max="11061" width="0" style="412" hidden="1" customWidth="1"/>
    <col min="11062" max="11062" width="1.5703125" style="412" customWidth="1"/>
    <col min="11063" max="11276" width="9.140625" style="412"/>
    <col min="11277" max="11277" width="2.7109375" style="412" customWidth="1"/>
    <col min="11278" max="11278" width="38.140625" style="412" customWidth="1"/>
    <col min="11279" max="11279" width="9.5703125" style="412" customWidth="1"/>
    <col min="11280" max="11280" width="9.7109375" style="412" customWidth="1"/>
    <col min="11281" max="11281" width="1.5703125" style="412" customWidth="1"/>
    <col min="11282" max="11284" width="0" style="412" hidden="1" customWidth="1"/>
    <col min="11285" max="11293" width="8.5703125" style="412" customWidth="1"/>
    <col min="11294" max="11308" width="0" style="412" hidden="1" customWidth="1"/>
    <col min="11309" max="11309" width="1.5703125" style="412" customWidth="1"/>
    <col min="11310" max="11310" width="9.7109375" style="412" customWidth="1"/>
    <col min="11311" max="11311" width="9.28515625" style="412" customWidth="1"/>
    <col min="11312" max="11314" width="9.7109375" style="412" customWidth="1"/>
    <col min="11315" max="11317" width="0" style="412" hidden="1" customWidth="1"/>
    <col min="11318" max="11318" width="1.5703125" style="412" customWidth="1"/>
    <col min="11319" max="11532" width="9.140625" style="412"/>
    <col min="11533" max="11533" width="2.7109375" style="412" customWidth="1"/>
    <col min="11534" max="11534" width="38.140625" style="412" customWidth="1"/>
    <col min="11535" max="11535" width="9.5703125" style="412" customWidth="1"/>
    <col min="11536" max="11536" width="9.7109375" style="412" customWidth="1"/>
    <col min="11537" max="11537" width="1.5703125" style="412" customWidth="1"/>
    <col min="11538" max="11540" width="0" style="412" hidden="1" customWidth="1"/>
    <col min="11541" max="11549" width="8.5703125" style="412" customWidth="1"/>
    <col min="11550" max="11564" width="0" style="412" hidden="1" customWidth="1"/>
    <col min="11565" max="11565" width="1.5703125" style="412" customWidth="1"/>
    <col min="11566" max="11566" width="9.7109375" style="412" customWidth="1"/>
    <col min="11567" max="11567" width="9.28515625" style="412" customWidth="1"/>
    <col min="11568" max="11570" width="9.7109375" style="412" customWidth="1"/>
    <col min="11571" max="11573" width="0" style="412" hidden="1" customWidth="1"/>
    <col min="11574" max="11574" width="1.5703125" style="412" customWidth="1"/>
    <col min="11575" max="11788" width="9.140625" style="412"/>
    <col min="11789" max="11789" width="2.7109375" style="412" customWidth="1"/>
    <col min="11790" max="11790" width="38.140625" style="412" customWidth="1"/>
    <col min="11791" max="11791" width="9.5703125" style="412" customWidth="1"/>
    <col min="11792" max="11792" width="9.7109375" style="412" customWidth="1"/>
    <col min="11793" max="11793" width="1.5703125" style="412" customWidth="1"/>
    <col min="11794" max="11796" width="0" style="412" hidden="1" customWidth="1"/>
    <col min="11797" max="11805" width="8.5703125" style="412" customWidth="1"/>
    <col min="11806" max="11820" width="0" style="412" hidden="1" customWidth="1"/>
    <col min="11821" max="11821" width="1.5703125" style="412" customWidth="1"/>
    <col min="11822" max="11822" width="9.7109375" style="412" customWidth="1"/>
    <col min="11823" max="11823" width="9.28515625" style="412" customWidth="1"/>
    <col min="11824" max="11826" width="9.7109375" style="412" customWidth="1"/>
    <col min="11827" max="11829" width="0" style="412" hidden="1" customWidth="1"/>
    <col min="11830" max="11830" width="1.5703125" style="412" customWidth="1"/>
    <col min="11831" max="12044" width="9.140625" style="412"/>
    <col min="12045" max="12045" width="2.7109375" style="412" customWidth="1"/>
    <col min="12046" max="12046" width="38.140625" style="412" customWidth="1"/>
    <col min="12047" max="12047" width="9.5703125" style="412" customWidth="1"/>
    <col min="12048" max="12048" width="9.7109375" style="412" customWidth="1"/>
    <col min="12049" max="12049" width="1.5703125" style="412" customWidth="1"/>
    <col min="12050" max="12052" width="0" style="412" hidden="1" customWidth="1"/>
    <col min="12053" max="12061" width="8.5703125" style="412" customWidth="1"/>
    <col min="12062" max="12076" width="0" style="412" hidden="1" customWidth="1"/>
    <col min="12077" max="12077" width="1.5703125" style="412" customWidth="1"/>
    <col min="12078" max="12078" width="9.7109375" style="412" customWidth="1"/>
    <col min="12079" max="12079" width="9.28515625" style="412" customWidth="1"/>
    <col min="12080" max="12082" width="9.7109375" style="412" customWidth="1"/>
    <col min="12083" max="12085" width="0" style="412" hidden="1" customWidth="1"/>
    <col min="12086" max="12086" width="1.5703125" style="412" customWidth="1"/>
    <col min="12087" max="12300" width="9.140625" style="412"/>
    <col min="12301" max="12301" width="2.7109375" style="412" customWidth="1"/>
    <col min="12302" max="12302" width="38.140625" style="412" customWidth="1"/>
    <col min="12303" max="12303" width="9.5703125" style="412" customWidth="1"/>
    <col min="12304" max="12304" width="9.7109375" style="412" customWidth="1"/>
    <col min="12305" max="12305" width="1.5703125" style="412" customWidth="1"/>
    <col min="12306" max="12308" width="0" style="412" hidden="1" customWidth="1"/>
    <col min="12309" max="12317" width="8.5703125" style="412" customWidth="1"/>
    <col min="12318" max="12332" width="0" style="412" hidden="1" customWidth="1"/>
    <col min="12333" max="12333" width="1.5703125" style="412" customWidth="1"/>
    <col min="12334" max="12334" width="9.7109375" style="412" customWidth="1"/>
    <col min="12335" max="12335" width="9.28515625" style="412" customWidth="1"/>
    <col min="12336" max="12338" width="9.7109375" style="412" customWidth="1"/>
    <col min="12339" max="12341" width="0" style="412" hidden="1" customWidth="1"/>
    <col min="12342" max="12342" width="1.5703125" style="412" customWidth="1"/>
    <col min="12343" max="12556" width="9.140625" style="412"/>
    <col min="12557" max="12557" width="2.7109375" style="412" customWidth="1"/>
    <col min="12558" max="12558" width="38.140625" style="412" customWidth="1"/>
    <col min="12559" max="12559" width="9.5703125" style="412" customWidth="1"/>
    <col min="12560" max="12560" width="9.7109375" style="412" customWidth="1"/>
    <col min="12561" max="12561" width="1.5703125" style="412" customWidth="1"/>
    <col min="12562" max="12564" width="0" style="412" hidden="1" customWidth="1"/>
    <col min="12565" max="12573" width="8.5703125" style="412" customWidth="1"/>
    <col min="12574" max="12588" width="0" style="412" hidden="1" customWidth="1"/>
    <col min="12589" max="12589" width="1.5703125" style="412" customWidth="1"/>
    <col min="12590" max="12590" width="9.7109375" style="412" customWidth="1"/>
    <col min="12591" max="12591" width="9.28515625" style="412" customWidth="1"/>
    <col min="12592" max="12594" width="9.7109375" style="412" customWidth="1"/>
    <col min="12595" max="12597" width="0" style="412" hidden="1" customWidth="1"/>
    <col min="12598" max="12598" width="1.5703125" style="412" customWidth="1"/>
    <col min="12599" max="12812" width="9.140625" style="412"/>
    <col min="12813" max="12813" width="2.7109375" style="412" customWidth="1"/>
    <col min="12814" max="12814" width="38.140625" style="412" customWidth="1"/>
    <col min="12815" max="12815" width="9.5703125" style="412" customWidth="1"/>
    <col min="12816" max="12816" width="9.7109375" style="412" customWidth="1"/>
    <col min="12817" max="12817" width="1.5703125" style="412" customWidth="1"/>
    <col min="12818" max="12820" width="0" style="412" hidden="1" customWidth="1"/>
    <col min="12821" max="12829" width="8.5703125" style="412" customWidth="1"/>
    <col min="12830" max="12844" width="0" style="412" hidden="1" customWidth="1"/>
    <col min="12845" max="12845" width="1.5703125" style="412" customWidth="1"/>
    <col min="12846" max="12846" width="9.7109375" style="412" customWidth="1"/>
    <col min="12847" max="12847" width="9.28515625" style="412" customWidth="1"/>
    <col min="12848" max="12850" width="9.7109375" style="412" customWidth="1"/>
    <col min="12851" max="12853" width="0" style="412" hidden="1" customWidth="1"/>
    <col min="12854" max="12854" width="1.5703125" style="412" customWidth="1"/>
    <col min="12855" max="13068" width="9.140625" style="412"/>
    <col min="13069" max="13069" width="2.7109375" style="412" customWidth="1"/>
    <col min="13070" max="13070" width="38.140625" style="412" customWidth="1"/>
    <col min="13071" max="13071" width="9.5703125" style="412" customWidth="1"/>
    <col min="13072" max="13072" width="9.7109375" style="412" customWidth="1"/>
    <col min="13073" max="13073" width="1.5703125" style="412" customWidth="1"/>
    <col min="13074" max="13076" width="0" style="412" hidden="1" customWidth="1"/>
    <col min="13077" max="13085" width="8.5703125" style="412" customWidth="1"/>
    <col min="13086" max="13100" width="0" style="412" hidden="1" customWidth="1"/>
    <col min="13101" max="13101" width="1.5703125" style="412" customWidth="1"/>
    <col min="13102" max="13102" width="9.7109375" style="412" customWidth="1"/>
    <col min="13103" max="13103" width="9.28515625" style="412" customWidth="1"/>
    <col min="13104" max="13106" width="9.7109375" style="412" customWidth="1"/>
    <col min="13107" max="13109" width="0" style="412" hidden="1" customWidth="1"/>
    <col min="13110" max="13110" width="1.5703125" style="412" customWidth="1"/>
    <col min="13111" max="13324" width="9.140625" style="412"/>
    <col min="13325" max="13325" width="2.7109375" style="412" customWidth="1"/>
    <col min="13326" max="13326" width="38.140625" style="412" customWidth="1"/>
    <col min="13327" max="13327" width="9.5703125" style="412" customWidth="1"/>
    <col min="13328" max="13328" width="9.7109375" style="412" customWidth="1"/>
    <col min="13329" max="13329" width="1.5703125" style="412" customWidth="1"/>
    <col min="13330" max="13332" width="0" style="412" hidden="1" customWidth="1"/>
    <col min="13333" max="13341" width="8.5703125" style="412" customWidth="1"/>
    <col min="13342" max="13356" width="0" style="412" hidden="1" customWidth="1"/>
    <col min="13357" max="13357" width="1.5703125" style="412" customWidth="1"/>
    <col min="13358" max="13358" width="9.7109375" style="412" customWidth="1"/>
    <col min="13359" max="13359" width="9.28515625" style="412" customWidth="1"/>
    <col min="13360" max="13362" width="9.7109375" style="412" customWidth="1"/>
    <col min="13363" max="13365" width="0" style="412" hidden="1" customWidth="1"/>
    <col min="13366" max="13366" width="1.5703125" style="412" customWidth="1"/>
    <col min="13367" max="13580" width="9.140625" style="412"/>
    <col min="13581" max="13581" width="2.7109375" style="412" customWidth="1"/>
    <col min="13582" max="13582" width="38.140625" style="412" customWidth="1"/>
    <col min="13583" max="13583" width="9.5703125" style="412" customWidth="1"/>
    <col min="13584" max="13584" width="9.7109375" style="412" customWidth="1"/>
    <col min="13585" max="13585" width="1.5703125" style="412" customWidth="1"/>
    <col min="13586" max="13588" width="0" style="412" hidden="1" customWidth="1"/>
    <col min="13589" max="13597" width="8.5703125" style="412" customWidth="1"/>
    <col min="13598" max="13612" width="0" style="412" hidden="1" customWidth="1"/>
    <col min="13613" max="13613" width="1.5703125" style="412" customWidth="1"/>
    <col min="13614" max="13614" width="9.7109375" style="412" customWidth="1"/>
    <col min="13615" max="13615" width="9.28515625" style="412" customWidth="1"/>
    <col min="13616" max="13618" width="9.7109375" style="412" customWidth="1"/>
    <col min="13619" max="13621" width="0" style="412" hidden="1" customWidth="1"/>
    <col min="13622" max="13622" width="1.5703125" style="412" customWidth="1"/>
    <col min="13623" max="13836" width="9.140625" style="412"/>
    <col min="13837" max="13837" width="2.7109375" style="412" customWidth="1"/>
    <col min="13838" max="13838" width="38.140625" style="412" customWidth="1"/>
    <col min="13839" max="13839" width="9.5703125" style="412" customWidth="1"/>
    <col min="13840" max="13840" width="9.7109375" style="412" customWidth="1"/>
    <col min="13841" max="13841" width="1.5703125" style="412" customWidth="1"/>
    <col min="13842" max="13844" width="0" style="412" hidden="1" customWidth="1"/>
    <col min="13845" max="13853" width="8.5703125" style="412" customWidth="1"/>
    <col min="13854" max="13868" width="0" style="412" hidden="1" customWidth="1"/>
    <col min="13869" max="13869" width="1.5703125" style="412" customWidth="1"/>
    <col min="13870" max="13870" width="9.7109375" style="412" customWidth="1"/>
    <col min="13871" max="13871" width="9.28515625" style="412" customWidth="1"/>
    <col min="13872" max="13874" width="9.7109375" style="412" customWidth="1"/>
    <col min="13875" max="13877" width="0" style="412" hidden="1" customWidth="1"/>
    <col min="13878" max="13878" width="1.5703125" style="412" customWidth="1"/>
    <col min="13879" max="14092" width="9.140625" style="412"/>
    <col min="14093" max="14093" width="2.7109375" style="412" customWidth="1"/>
    <col min="14094" max="14094" width="38.140625" style="412" customWidth="1"/>
    <col min="14095" max="14095" width="9.5703125" style="412" customWidth="1"/>
    <col min="14096" max="14096" width="9.7109375" style="412" customWidth="1"/>
    <col min="14097" max="14097" width="1.5703125" style="412" customWidth="1"/>
    <col min="14098" max="14100" width="0" style="412" hidden="1" customWidth="1"/>
    <col min="14101" max="14109" width="8.5703125" style="412" customWidth="1"/>
    <col min="14110" max="14124" width="0" style="412" hidden="1" customWidth="1"/>
    <col min="14125" max="14125" width="1.5703125" style="412" customWidth="1"/>
    <col min="14126" max="14126" width="9.7109375" style="412" customWidth="1"/>
    <col min="14127" max="14127" width="9.28515625" style="412" customWidth="1"/>
    <col min="14128" max="14130" width="9.7109375" style="412" customWidth="1"/>
    <col min="14131" max="14133" width="0" style="412" hidden="1" customWidth="1"/>
    <col min="14134" max="14134" width="1.5703125" style="412" customWidth="1"/>
    <col min="14135" max="14348" width="9.140625" style="412"/>
    <col min="14349" max="14349" width="2.7109375" style="412" customWidth="1"/>
    <col min="14350" max="14350" width="38.140625" style="412" customWidth="1"/>
    <col min="14351" max="14351" width="9.5703125" style="412" customWidth="1"/>
    <col min="14352" max="14352" width="9.7109375" style="412" customWidth="1"/>
    <col min="14353" max="14353" width="1.5703125" style="412" customWidth="1"/>
    <col min="14354" max="14356" width="0" style="412" hidden="1" customWidth="1"/>
    <col min="14357" max="14365" width="8.5703125" style="412" customWidth="1"/>
    <col min="14366" max="14380" width="0" style="412" hidden="1" customWidth="1"/>
    <col min="14381" max="14381" width="1.5703125" style="412" customWidth="1"/>
    <col min="14382" max="14382" width="9.7109375" style="412" customWidth="1"/>
    <col min="14383" max="14383" width="9.28515625" style="412" customWidth="1"/>
    <col min="14384" max="14386" width="9.7109375" style="412" customWidth="1"/>
    <col min="14387" max="14389" width="0" style="412" hidden="1" customWidth="1"/>
    <col min="14390" max="14390" width="1.5703125" style="412" customWidth="1"/>
    <col min="14391" max="14604" width="9.140625" style="412"/>
    <col min="14605" max="14605" width="2.7109375" style="412" customWidth="1"/>
    <col min="14606" max="14606" width="38.140625" style="412" customWidth="1"/>
    <col min="14607" max="14607" width="9.5703125" style="412" customWidth="1"/>
    <col min="14608" max="14608" width="9.7109375" style="412" customWidth="1"/>
    <col min="14609" max="14609" width="1.5703125" style="412" customWidth="1"/>
    <col min="14610" max="14612" width="0" style="412" hidden="1" customWidth="1"/>
    <col min="14613" max="14621" width="8.5703125" style="412" customWidth="1"/>
    <col min="14622" max="14636" width="0" style="412" hidden="1" customWidth="1"/>
    <col min="14637" max="14637" width="1.5703125" style="412" customWidth="1"/>
    <col min="14638" max="14638" width="9.7109375" style="412" customWidth="1"/>
    <col min="14639" max="14639" width="9.28515625" style="412" customWidth="1"/>
    <col min="14640" max="14642" width="9.7109375" style="412" customWidth="1"/>
    <col min="14643" max="14645" width="0" style="412" hidden="1" customWidth="1"/>
    <col min="14646" max="14646" width="1.5703125" style="412" customWidth="1"/>
    <col min="14647" max="14860" width="9.140625" style="412"/>
    <col min="14861" max="14861" width="2.7109375" style="412" customWidth="1"/>
    <col min="14862" max="14862" width="38.140625" style="412" customWidth="1"/>
    <col min="14863" max="14863" width="9.5703125" style="412" customWidth="1"/>
    <col min="14864" max="14864" width="9.7109375" style="412" customWidth="1"/>
    <col min="14865" max="14865" width="1.5703125" style="412" customWidth="1"/>
    <col min="14866" max="14868" width="0" style="412" hidden="1" customWidth="1"/>
    <col min="14869" max="14877" width="8.5703125" style="412" customWidth="1"/>
    <col min="14878" max="14892" width="0" style="412" hidden="1" customWidth="1"/>
    <col min="14893" max="14893" width="1.5703125" style="412" customWidth="1"/>
    <col min="14894" max="14894" width="9.7109375" style="412" customWidth="1"/>
    <col min="14895" max="14895" width="9.28515625" style="412" customWidth="1"/>
    <col min="14896" max="14898" width="9.7109375" style="412" customWidth="1"/>
    <col min="14899" max="14901" width="0" style="412" hidden="1" customWidth="1"/>
    <col min="14902" max="14902" width="1.5703125" style="412" customWidth="1"/>
    <col min="14903" max="15116" width="9.140625" style="412"/>
    <col min="15117" max="15117" width="2.7109375" style="412" customWidth="1"/>
    <col min="15118" max="15118" width="38.140625" style="412" customWidth="1"/>
    <col min="15119" max="15119" width="9.5703125" style="412" customWidth="1"/>
    <col min="15120" max="15120" width="9.7109375" style="412" customWidth="1"/>
    <col min="15121" max="15121" width="1.5703125" style="412" customWidth="1"/>
    <col min="15122" max="15124" width="0" style="412" hidden="1" customWidth="1"/>
    <col min="15125" max="15133" width="8.5703125" style="412" customWidth="1"/>
    <col min="15134" max="15148" width="0" style="412" hidden="1" customWidth="1"/>
    <col min="15149" max="15149" width="1.5703125" style="412" customWidth="1"/>
    <col min="15150" max="15150" width="9.7109375" style="412" customWidth="1"/>
    <col min="15151" max="15151" width="9.28515625" style="412" customWidth="1"/>
    <col min="15152" max="15154" width="9.7109375" style="412" customWidth="1"/>
    <col min="15155" max="15157" width="0" style="412" hidden="1" customWidth="1"/>
    <col min="15158" max="15158" width="1.5703125" style="412" customWidth="1"/>
    <col min="15159" max="15372" width="9.140625" style="412"/>
    <col min="15373" max="15373" width="2.7109375" style="412" customWidth="1"/>
    <col min="15374" max="15374" width="38.140625" style="412" customWidth="1"/>
    <col min="15375" max="15375" width="9.5703125" style="412" customWidth="1"/>
    <col min="15376" max="15376" width="9.7109375" style="412" customWidth="1"/>
    <col min="15377" max="15377" width="1.5703125" style="412" customWidth="1"/>
    <col min="15378" max="15380" width="0" style="412" hidden="1" customWidth="1"/>
    <col min="15381" max="15389" width="8.5703125" style="412" customWidth="1"/>
    <col min="15390" max="15404" width="0" style="412" hidden="1" customWidth="1"/>
    <col min="15405" max="15405" width="1.5703125" style="412" customWidth="1"/>
    <col min="15406" max="15406" width="9.7109375" style="412" customWidth="1"/>
    <col min="15407" max="15407" width="9.28515625" style="412" customWidth="1"/>
    <col min="15408" max="15410" width="9.7109375" style="412" customWidth="1"/>
    <col min="15411" max="15413" width="0" style="412" hidden="1" customWidth="1"/>
    <col min="15414" max="15414" width="1.5703125" style="412" customWidth="1"/>
    <col min="15415" max="15628" width="9.140625" style="412"/>
    <col min="15629" max="15629" width="2.7109375" style="412" customWidth="1"/>
    <col min="15630" max="15630" width="38.140625" style="412" customWidth="1"/>
    <col min="15631" max="15631" width="9.5703125" style="412" customWidth="1"/>
    <col min="15632" max="15632" width="9.7109375" style="412" customWidth="1"/>
    <col min="15633" max="15633" width="1.5703125" style="412" customWidth="1"/>
    <col min="15634" max="15636" width="0" style="412" hidden="1" customWidth="1"/>
    <col min="15637" max="15645" width="8.5703125" style="412" customWidth="1"/>
    <col min="15646" max="15660" width="0" style="412" hidden="1" customWidth="1"/>
    <col min="15661" max="15661" width="1.5703125" style="412" customWidth="1"/>
    <col min="15662" max="15662" width="9.7109375" style="412" customWidth="1"/>
    <col min="15663" max="15663" width="9.28515625" style="412" customWidth="1"/>
    <col min="15664" max="15666" width="9.7109375" style="412" customWidth="1"/>
    <col min="15667" max="15669" width="0" style="412" hidden="1" customWidth="1"/>
    <col min="15670" max="15670" width="1.5703125" style="412" customWidth="1"/>
    <col min="15671" max="15884" width="9.140625" style="412"/>
    <col min="15885" max="15885" width="2.7109375" style="412" customWidth="1"/>
    <col min="15886" max="15886" width="38.140625" style="412" customWidth="1"/>
    <col min="15887" max="15887" width="9.5703125" style="412" customWidth="1"/>
    <col min="15888" max="15888" width="9.7109375" style="412" customWidth="1"/>
    <col min="15889" max="15889" width="1.5703125" style="412" customWidth="1"/>
    <col min="15890" max="15892" width="0" style="412" hidden="1" customWidth="1"/>
    <col min="15893" max="15901" width="8.5703125" style="412" customWidth="1"/>
    <col min="15902" max="15916" width="0" style="412" hidden="1" customWidth="1"/>
    <col min="15917" max="15917" width="1.5703125" style="412" customWidth="1"/>
    <col min="15918" max="15918" width="9.7109375" style="412" customWidth="1"/>
    <col min="15919" max="15919" width="9.28515625" style="412" customWidth="1"/>
    <col min="15920" max="15922" width="9.7109375" style="412" customWidth="1"/>
    <col min="15923" max="15925" width="0" style="412" hidden="1" customWidth="1"/>
    <col min="15926" max="15926" width="1.5703125" style="412" customWidth="1"/>
    <col min="15927" max="16140" width="9.140625" style="412"/>
    <col min="16141" max="16141" width="2.7109375" style="412" customWidth="1"/>
    <col min="16142" max="16142" width="38.140625" style="412" customWidth="1"/>
    <col min="16143" max="16143" width="9.5703125" style="412" customWidth="1"/>
    <col min="16144" max="16144" width="9.7109375" style="412" customWidth="1"/>
    <col min="16145" max="16145" width="1.5703125" style="412" customWidth="1"/>
    <col min="16146" max="16148" width="0" style="412" hidden="1" customWidth="1"/>
    <col min="16149" max="16157" width="8.5703125" style="412" customWidth="1"/>
    <col min="16158" max="16172" width="0" style="412" hidden="1" customWidth="1"/>
    <col min="16173" max="16173" width="1.5703125" style="412" customWidth="1"/>
    <col min="16174" max="16174" width="9.7109375" style="412" customWidth="1"/>
    <col min="16175" max="16175" width="9.28515625" style="412" customWidth="1"/>
    <col min="16176" max="16178" width="9.7109375" style="412" customWidth="1"/>
    <col min="16179" max="16181" width="0" style="412" hidden="1" customWidth="1"/>
    <col min="16182" max="16182" width="1.5703125" style="412" customWidth="1"/>
    <col min="16183" max="16384" width="9.140625" style="412"/>
  </cols>
  <sheetData>
    <row r="5" spans="1:61" x14ac:dyDescent="0.2">
      <c r="A5" s="3"/>
      <c r="B5" s="3"/>
      <c r="C5" s="3"/>
      <c r="D5" s="3"/>
      <c r="AC5" s="3"/>
      <c r="AD5" s="3"/>
      <c r="AE5" s="3"/>
    </row>
    <row r="6" spans="1:61" ht="18" customHeight="1" x14ac:dyDescent="0.2">
      <c r="A6" s="84" t="s">
        <v>254</v>
      </c>
      <c r="B6" s="3"/>
      <c r="C6" s="3"/>
      <c r="D6" s="3"/>
      <c r="F6" s="355"/>
      <c r="G6" s="355"/>
      <c r="J6" s="355"/>
      <c r="K6" s="355"/>
      <c r="N6" s="355"/>
      <c r="O6" s="355"/>
      <c r="AC6" s="3"/>
      <c r="AD6" s="3"/>
      <c r="AE6" s="3"/>
      <c r="AM6" s="355"/>
      <c r="AN6" s="355"/>
    </row>
    <row r="7" spans="1:61" ht="18" customHeight="1" x14ac:dyDescent="0.2">
      <c r="A7" s="84" t="s">
        <v>213</v>
      </c>
      <c r="B7" s="3"/>
      <c r="C7" s="3"/>
      <c r="D7" s="3"/>
      <c r="AC7" s="3"/>
      <c r="AD7" s="3"/>
      <c r="AE7" s="3"/>
    </row>
    <row r="8" spans="1:61" s="485" customFormat="1" ht="14.25" x14ac:dyDescent="0.2">
      <c r="A8" s="515" t="s">
        <v>320</v>
      </c>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O8" s="64"/>
      <c r="AP8" s="64"/>
      <c r="AR8" s="64"/>
      <c r="AS8" s="64"/>
      <c r="AT8" s="64"/>
    </row>
    <row r="9" spans="1:61" ht="9.75" customHeight="1" x14ac:dyDescent="0.2">
      <c r="A9" s="2"/>
      <c r="B9" s="2"/>
      <c r="C9" s="2"/>
      <c r="D9" s="2"/>
      <c r="E9" s="2"/>
      <c r="F9" s="2"/>
      <c r="G9" s="2"/>
      <c r="H9" s="2"/>
      <c r="I9" s="2"/>
      <c r="J9" s="2"/>
      <c r="K9" s="2"/>
      <c r="L9" s="2"/>
      <c r="M9" s="2"/>
      <c r="N9" s="284"/>
      <c r="O9" s="2"/>
      <c r="P9" s="2"/>
      <c r="Q9" s="2"/>
      <c r="R9" s="284"/>
      <c r="S9" s="2"/>
      <c r="T9" s="284"/>
      <c r="U9" s="2"/>
      <c r="V9" s="284"/>
      <c r="W9" s="2"/>
      <c r="X9" s="284"/>
      <c r="Y9" s="2"/>
      <c r="Z9" s="284"/>
      <c r="AA9" s="2"/>
      <c r="AB9" s="2"/>
      <c r="AC9" s="3"/>
      <c r="AD9" s="3"/>
      <c r="AE9" s="3"/>
      <c r="AO9" s="369"/>
      <c r="AP9" s="369"/>
      <c r="AR9" s="369"/>
      <c r="AS9" s="369"/>
      <c r="AT9" s="369"/>
      <c r="AY9" s="3"/>
      <c r="AZ9" s="3"/>
      <c r="BA9" s="3"/>
    </row>
    <row r="10" spans="1:61" x14ac:dyDescent="0.2">
      <c r="A10" s="5" t="s">
        <v>1</v>
      </c>
      <c r="B10" s="6"/>
      <c r="C10" s="2493" t="s">
        <v>327</v>
      </c>
      <c r="D10" s="2494"/>
      <c r="E10" s="187"/>
      <c r="F10" s="276"/>
      <c r="G10" s="276"/>
      <c r="H10" s="276"/>
      <c r="I10" s="17"/>
      <c r="J10" s="276"/>
      <c r="K10" s="276"/>
      <c r="L10" s="276"/>
      <c r="M10" s="17"/>
      <c r="N10" s="15"/>
      <c r="O10" s="16"/>
      <c r="P10" s="276"/>
      <c r="Q10" s="17"/>
      <c r="R10" s="15"/>
      <c r="S10" s="16"/>
      <c r="T10" s="276"/>
      <c r="U10" s="17"/>
      <c r="V10" s="486"/>
      <c r="W10" s="16"/>
      <c r="X10" s="2"/>
      <c r="Y10" s="17"/>
      <c r="Z10" s="16"/>
      <c r="AA10" s="486"/>
      <c r="AB10" s="276"/>
      <c r="AC10" s="17"/>
      <c r="AD10" s="16"/>
      <c r="AE10" s="16"/>
      <c r="AF10" s="16"/>
      <c r="AG10" s="16"/>
      <c r="AH10" s="20"/>
      <c r="AI10" s="17"/>
      <c r="AJ10" s="17"/>
      <c r="AK10" s="17"/>
      <c r="AL10" s="22"/>
      <c r="AM10" s="450" t="s">
        <v>311</v>
      </c>
      <c r="AN10" s="438"/>
      <c r="AO10" s="438" t="s">
        <v>296</v>
      </c>
      <c r="AP10" s="439"/>
      <c r="AQ10" s="13"/>
      <c r="AR10" s="535"/>
      <c r="AS10" s="469"/>
      <c r="AT10" s="453"/>
      <c r="AU10" s="46"/>
      <c r="AV10" s="46"/>
      <c r="AW10" s="15"/>
      <c r="AX10" s="20"/>
      <c r="AY10" s="46"/>
      <c r="AZ10" s="46"/>
      <c r="BA10" s="469"/>
      <c r="BB10" s="23"/>
    </row>
    <row r="11" spans="1:61" ht="13.5" x14ac:dyDescent="0.2">
      <c r="A11" s="5" t="s">
        <v>2</v>
      </c>
      <c r="B11" s="6"/>
      <c r="C11" s="2495" t="s">
        <v>39</v>
      </c>
      <c r="D11" s="2496"/>
      <c r="E11" s="358"/>
      <c r="F11" s="19" t="s">
        <v>330</v>
      </c>
      <c r="G11" s="19" t="s">
        <v>329</v>
      </c>
      <c r="H11" s="19" t="s">
        <v>328</v>
      </c>
      <c r="I11" s="12" t="s">
        <v>326</v>
      </c>
      <c r="J11" s="19" t="s">
        <v>282</v>
      </c>
      <c r="K11" s="19" t="s">
        <v>283</v>
      </c>
      <c r="L11" s="19" t="s">
        <v>284</v>
      </c>
      <c r="M11" s="12" t="s">
        <v>285</v>
      </c>
      <c r="N11" s="18" t="s">
        <v>220</v>
      </c>
      <c r="O11" s="19" t="s">
        <v>221</v>
      </c>
      <c r="P11" s="19" t="s">
        <v>222</v>
      </c>
      <c r="Q11" s="12" t="s">
        <v>219</v>
      </c>
      <c r="R11" s="18" t="s">
        <v>185</v>
      </c>
      <c r="S11" s="19" t="s">
        <v>186</v>
      </c>
      <c r="T11" s="19" t="s">
        <v>187</v>
      </c>
      <c r="U11" s="12" t="s">
        <v>188</v>
      </c>
      <c r="V11" s="19" t="s">
        <v>118</v>
      </c>
      <c r="W11" s="19" t="s">
        <v>117</v>
      </c>
      <c r="X11" s="19" t="s">
        <v>116</v>
      </c>
      <c r="Y11" s="12" t="s">
        <v>115</v>
      </c>
      <c r="Z11" s="19" t="s">
        <v>83</v>
      </c>
      <c r="AA11" s="19" t="s">
        <v>84</v>
      </c>
      <c r="AB11" s="19" t="s">
        <v>85</v>
      </c>
      <c r="AC11" s="12" t="s">
        <v>30</v>
      </c>
      <c r="AD11" s="19" t="s">
        <v>31</v>
      </c>
      <c r="AE11" s="19" t="s">
        <v>32</v>
      </c>
      <c r="AF11" s="19" t="s">
        <v>33</v>
      </c>
      <c r="AG11" s="19" t="s">
        <v>34</v>
      </c>
      <c r="AH11" s="21" t="s">
        <v>35</v>
      </c>
      <c r="AI11" s="12" t="s">
        <v>36</v>
      </c>
      <c r="AJ11" s="12" t="s">
        <v>37</v>
      </c>
      <c r="AK11" s="12" t="s">
        <v>38</v>
      </c>
      <c r="AL11" s="187"/>
      <c r="AM11" s="19" t="s">
        <v>283</v>
      </c>
      <c r="AN11" s="19" t="s">
        <v>221</v>
      </c>
      <c r="AO11" s="2498" t="s">
        <v>39</v>
      </c>
      <c r="AP11" s="2499"/>
      <c r="AQ11" s="455"/>
      <c r="AR11" s="18" t="s">
        <v>287</v>
      </c>
      <c r="AS11" s="18" t="s">
        <v>224</v>
      </c>
      <c r="AT11" s="18" t="s">
        <v>120</v>
      </c>
      <c r="AU11" s="18" t="s">
        <v>119</v>
      </c>
      <c r="AV11" s="18" t="s">
        <v>43</v>
      </c>
      <c r="AW11" s="18" t="s">
        <v>40</v>
      </c>
      <c r="AX11" s="21" t="s">
        <v>41</v>
      </c>
      <c r="AY11" s="21" t="s">
        <v>138</v>
      </c>
      <c r="AZ11" s="21" t="s">
        <v>139</v>
      </c>
      <c r="BA11" s="18" t="s">
        <v>140</v>
      </c>
      <c r="BB11" s="23"/>
      <c r="BC11" s="3"/>
      <c r="BD11" s="3"/>
      <c r="BG11" s="3"/>
      <c r="BH11" s="3"/>
      <c r="BI11" s="3"/>
    </row>
    <row r="12" spans="1:61" x14ac:dyDescent="0.2">
      <c r="A12" s="5"/>
      <c r="B12" s="6"/>
      <c r="C12" s="423"/>
      <c r="D12" s="456"/>
      <c r="E12" s="454"/>
      <c r="F12" s="426" t="s">
        <v>240</v>
      </c>
      <c r="G12" s="426" t="s">
        <v>240</v>
      </c>
      <c r="H12" s="426" t="s">
        <v>240</v>
      </c>
      <c r="I12" s="427" t="s">
        <v>240</v>
      </c>
      <c r="J12" s="426" t="s">
        <v>240</v>
      </c>
      <c r="K12" s="426" t="s">
        <v>240</v>
      </c>
      <c r="L12" s="426" t="s">
        <v>240</v>
      </c>
      <c r="M12" s="427" t="s">
        <v>240</v>
      </c>
      <c r="N12" s="425" t="s">
        <v>240</v>
      </c>
      <c r="O12" s="426" t="s">
        <v>240</v>
      </c>
      <c r="P12" s="426" t="s">
        <v>240</v>
      </c>
      <c r="Q12" s="427" t="s">
        <v>240</v>
      </c>
      <c r="R12" s="425" t="s">
        <v>240</v>
      </c>
      <c r="S12" s="426" t="s">
        <v>240</v>
      </c>
      <c r="T12" s="426" t="s">
        <v>240</v>
      </c>
      <c r="U12" s="427" t="s">
        <v>240</v>
      </c>
      <c r="V12" s="425" t="s">
        <v>241</v>
      </c>
      <c r="W12" s="426" t="s">
        <v>241</v>
      </c>
      <c r="X12" s="426" t="s">
        <v>241</v>
      </c>
      <c r="Y12" s="427" t="s">
        <v>241</v>
      </c>
      <c r="Z12" s="13"/>
      <c r="AA12" s="13"/>
      <c r="AB12" s="13"/>
      <c r="AC12" s="162"/>
      <c r="AD12" s="13"/>
      <c r="AE12" s="13"/>
      <c r="AF12" s="13"/>
      <c r="AG12" s="13"/>
      <c r="AH12" s="187"/>
      <c r="AI12" s="162"/>
      <c r="AJ12" s="162"/>
      <c r="AK12" s="162"/>
      <c r="AL12" s="187"/>
      <c r="AM12" s="426" t="s">
        <v>240</v>
      </c>
      <c r="AN12" s="426" t="s">
        <v>240</v>
      </c>
      <c r="AO12" s="440"/>
      <c r="AP12" s="441"/>
      <c r="AQ12" s="455"/>
      <c r="AR12" s="425" t="s">
        <v>240</v>
      </c>
      <c r="AS12" s="425" t="s">
        <v>240</v>
      </c>
      <c r="AT12" s="425" t="s">
        <v>240</v>
      </c>
      <c r="AU12" s="425" t="s">
        <v>241</v>
      </c>
      <c r="AV12" s="425" t="s">
        <v>241</v>
      </c>
      <c r="AW12" s="425" t="s">
        <v>241</v>
      </c>
      <c r="AX12" s="428" t="s">
        <v>241</v>
      </c>
      <c r="AY12" s="187"/>
      <c r="AZ12" s="187"/>
      <c r="BA12" s="161"/>
      <c r="BB12" s="23"/>
      <c r="BC12" s="3"/>
      <c r="BD12" s="3"/>
      <c r="BG12" s="3"/>
      <c r="BH12" s="3"/>
      <c r="BI12" s="3"/>
    </row>
    <row r="13" spans="1:61" ht="12.75" customHeight="1" x14ac:dyDescent="0.2">
      <c r="A13" s="413" t="s">
        <v>61</v>
      </c>
      <c r="B13" s="7"/>
      <c r="C13" s="108"/>
      <c r="D13" s="110"/>
      <c r="E13" s="47"/>
      <c r="F13" s="6"/>
      <c r="G13" s="6"/>
      <c r="H13" s="6"/>
      <c r="I13" s="278"/>
      <c r="J13" s="6"/>
      <c r="K13" s="6"/>
      <c r="L13" s="6"/>
      <c r="M13" s="278"/>
      <c r="N13" s="94"/>
      <c r="O13" s="6"/>
      <c r="P13" s="6"/>
      <c r="Q13" s="278"/>
      <c r="R13" s="94"/>
      <c r="S13" s="6"/>
      <c r="T13" s="6"/>
      <c r="U13" s="278"/>
      <c r="V13" s="94"/>
      <c r="W13" s="6"/>
      <c r="X13" s="6"/>
      <c r="Y13" s="278"/>
      <c r="Z13" s="94"/>
      <c r="AA13" s="6"/>
      <c r="AB13" s="6"/>
      <c r="AC13" s="278"/>
      <c r="AD13" s="128"/>
      <c r="AE13" s="94"/>
      <c r="AF13" s="94"/>
      <c r="AG13" s="110"/>
      <c r="AH13" s="127"/>
      <c r="AI13" s="110"/>
      <c r="AJ13" s="110"/>
      <c r="AK13" s="109"/>
      <c r="AL13" s="47"/>
      <c r="AM13" s="457"/>
      <c r="AN13" s="447"/>
      <c r="AO13" s="447"/>
      <c r="AP13" s="398"/>
      <c r="AQ13" s="44"/>
      <c r="AR13" s="386"/>
      <c r="AS13" s="386"/>
      <c r="AT13" s="386"/>
      <c r="AU13" s="47"/>
      <c r="AV13" s="47"/>
      <c r="AW13" s="108"/>
      <c r="AX13" s="47"/>
      <c r="AY13" s="227"/>
      <c r="AZ13" s="227"/>
      <c r="BA13" s="315"/>
      <c r="BB13" s="23"/>
      <c r="BC13" s="3"/>
      <c r="BD13" s="3"/>
      <c r="BG13" s="3"/>
    </row>
    <row r="14" spans="1:61" ht="12.75" customHeight="1" x14ac:dyDescent="0.2">
      <c r="A14" s="6"/>
      <c r="B14" s="44" t="s">
        <v>182</v>
      </c>
      <c r="C14" s="171" t="e">
        <f>I14-M14</f>
        <v>#REF!</v>
      </c>
      <c r="D14" s="503" t="e">
        <f>IF(OR((C14/M14)&gt;3,(C14/M14)&lt;-3),"n.m.",(C14/M14))</f>
        <v>#REF!</v>
      </c>
      <c r="E14" s="353"/>
      <c r="F14" s="505" t="e">
        <f>+#REF!</f>
        <v>#REF!</v>
      </c>
      <c r="G14" s="505" t="e">
        <f>+#REF!</f>
        <v>#REF!</v>
      </c>
      <c r="H14" s="505" t="e">
        <f>+#REF!</f>
        <v>#REF!</v>
      </c>
      <c r="I14" s="505" t="e">
        <f>+#REF!</f>
        <v>#REF!</v>
      </c>
      <c r="J14" s="495" t="e">
        <f>+#REF!</f>
        <v>#REF!</v>
      </c>
      <c r="K14" s="505" t="e">
        <f>+#REF!</f>
        <v>#REF!</v>
      </c>
      <c r="L14" s="505" t="e">
        <f>+#REF!</f>
        <v>#REF!</v>
      </c>
      <c r="M14" s="506" t="e">
        <f>+#REF!</f>
        <v>#REF!</v>
      </c>
      <c r="N14" s="465" t="e">
        <f>#REF!</f>
        <v>#REF!</v>
      </c>
      <c r="O14" s="465">
        <v>12748</v>
      </c>
      <c r="P14" s="163">
        <v>9338</v>
      </c>
      <c r="Q14" s="167">
        <v>9246</v>
      </c>
      <c r="R14" s="163">
        <v>34555</v>
      </c>
      <c r="S14" s="163">
        <v>23339</v>
      </c>
      <c r="T14" s="163">
        <v>18338</v>
      </c>
      <c r="U14" s="167">
        <v>16445</v>
      </c>
      <c r="V14" s="163">
        <v>21333</v>
      </c>
      <c r="W14" s="163">
        <v>26421</v>
      </c>
      <c r="X14" s="163">
        <v>13775</v>
      </c>
      <c r="Y14" s="167">
        <v>20925</v>
      </c>
      <c r="Z14" s="163"/>
      <c r="AA14" s="163"/>
      <c r="AB14" s="163"/>
      <c r="AC14" s="167"/>
      <c r="AD14" s="163"/>
      <c r="AE14" s="163"/>
      <c r="AF14" s="163"/>
      <c r="AG14" s="167"/>
      <c r="AH14" s="132"/>
      <c r="AI14" s="170"/>
      <c r="AJ14" s="167"/>
      <c r="AK14" s="163"/>
      <c r="AL14" s="134"/>
      <c r="AM14" s="171" t="e">
        <f>SUM(K14:M14)</f>
        <v>#REF!</v>
      </c>
      <c r="AN14" s="183">
        <f>SUM(O14:Q14)</f>
        <v>31332</v>
      </c>
      <c r="AO14" s="183" t="e">
        <f>AR14-AS14</f>
        <v>#REF!</v>
      </c>
      <c r="AP14" s="503" t="e">
        <f>IF(OR((AO14/AS14)&gt;3,(AO14/AS14)&lt;-3),"n.m.",(AO14/AS14))</f>
        <v>#REF!</v>
      </c>
      <c r="AQ14" s="174"/>
      <c r="AR14" s="498" t="e">
        <f>SUM(J14:M14)</f>
        <v>#REF!</v>
      </c>
      <c r="AS14" s="237" t="e">
        <f>SUM(N14:Q14)</f>
        <v>#REF!</v>
      </c>
      <c r="AT14" s="237">
        <f>SUM(R14:U14)</f>
        <v>92677</v>
      </c>
      <c r="AU14" s="132">
        <f>SUM(V14:Y14)</f>
        <v>82454</v>
      </c>
      <c r="AV14" s="132">
        <v>72926</v>
      </c>
      <c r="AW14" s="132">
        <v>118332</v>
      </c>
      <c r="AX14" s="137">
        <v>129852</v>
      </c>
      <c r="AY14" s="37">
        <v>125900</v>
      </c>
      <c r="AZ14" s="37">
        <v>116090</v>
      </c>
      <c r="BA14" s="464">
        <v>84489</v>
      </c>
      <c r="BB14" s="23"/>
      <c r="BC14" s="3"/>
      <c r="BD14" s="3"/>
      <c r="BG14" s="3"/>
    </row>
    <row r="15" spans="1:61" ht="12.75" customHeight="1" x14ac:dyDescent="0.2">
      <c r="A15" s="6"/>
      <c r="B15" s="487" t="s">
        <v>316</v>
      </c>
      <c r="C15" s="171">
        <f>I15-M15</f>
        <v>7391</v>
      </c>
      <c r="D15" s="503" t="s">
        <v>42</v>
      </c>
      <c r="E15" s="353"/>
      <c r="F15" s="509">
        <f>+'9 CWM UK and Europe'!R15</f>
        <v>33220</v>
      </c>
      <c r="G15" s="509">
        <f>+'9 CWM UK and Europe'!S15</f>
        <v>27018</v>
      </c>
      <c r="H15" s="509">
        <f>+'9 CWM UK and Europe'!T15</f>
        <v>25830</v>
      </c>
      <c r="I15" s="509">
        <f>+'9 CWM UK and Europe'!U15</f>
        <v>26978</v>
      </c>
      <c r="J15" s="349">
        <f>+'9 CWM UK and Europe'!V15</f>
        <v>26706</v>
      </c>
      <c r="K15" s="509">
        <f>+'9 CWM UK and Europe'!W15</f>
        <v>24792</v>
      </c>
      <c r="L15" s="509">
        <f>+'9 CWM UK and Europe'!X15</f>
        <v>20672</v>
      </c>
      <c r="M15" s="508">
        <f>+'9 CWM UK and Europe'!Y14</f>
        <v>19587</v>
      </c>
      <c r="N15" s="465">
        <f>+'9 CWM UK and Europe'!Z14</f>
        <v>1987</v>
      </c>
      <c r="O15" s="366">
        <v>0</v>
      </c>
      <c r="P15" s="366">
        <v>0</v>
      </c>
      <c r="Q15" s="474">
        <v>0</v>
      </c>
      <c r="R15" s="366">
        <v>0</v>
      </c>
      <c r="S15" s="366">
        <v>0</v>
      </c>
      <c r="T15" s="366">
        <v>0</v>
      </c>
      <c r="U15" s="474">
        <v>0</v>
      </c>
      <c r="V15" s="366">
        <v>0</v>
      </c>
      <c r="W15" s="465"/>
      <c r="X15" s="465"/>
      <c r="Y15" s="167"/>
      <c r="Z15" s="465"/>
      <c r="AA15" s="465"/>
      <c r="AB15" s="465"/>
      <c r="AC15" s="167"/>
      <c r="AD15" s="465"/>
      <c r="AE15" s="465"/>
      <c r="AF15" s="465"/>
      <c r="AG15" s="167"/>
      <c r="AH15" s="132"/>
      <c r="AI15" s="170"/>
      <c r="AJ15" s="167"/>
      <c r="AK15" s="465"/>
      <c r="AL15" s="134"/>
      <c r="AM15" s="171">
        <f>SUM(K15:M15)</f>
        <v>65051</v>
      </c>
      <c r="AN15" s="183">
        <f>+'9 CWM UK and Europe'!AZ14</f>
        <v>125551</v>
      </c>
      <c r="AO15" s="183">
        <f>AR15-AS15</f>
        <v>89770</v>
      </c>
      <c r="AP15" s="95" t="s">
        <v>42</v>
      </c>
      <c r="AQ15" s="174"/>
      <c r="AR15" s="498">
        <f>SUM(J15:M15)</f>
        <v>91757</v>
      </c>
      <c r="AS15" s="237">
        <f>SUM(N15:Q15)</f>
        <v>1987</v>
      </c>
      <c r="AT15" s="329">
        <v>0</v>
      </c>
      <c r="AU15" s="475">
        <v>0</v>
      </c>
      <c r="AV15" s="475">
        <v>0</v>
      </c>
      <c r="AW15" s="476">
        <v>0</v>
      </c>
      <c r="AX15" s="137"/>
      <c r="AY15" s="37"/>
      <c r="AZ15" s="37"/>
      <c r="BA15" s="464"/>
      <c r="BB15" s="23"/>
      <c r="BC15" s="3"/>
      <c r="BD15" s="3"/>
      <c r="BG15" s="3"/>
    </row>
    <row r="16" spans="1:61" ht="12.75" customHeight="1" x14ac:dyDescent="0.2">
      <c r="A16" s="7"/>
      <c r="B16" s="6"/>
      <c r="C16" s="175" t="e">
        <f>I16-M16</f>
        <v>#REF!</v>
      </c>
      <c r="D16" s="114" t="e">
        <f>IF(OR((C16/M16)&gt;3,(C16/M16)&lt;-3),"n.m.",(C16/M16))</f>
        <v>#REF!</v>
      </c>
      <c r="E16" s="353"/>
      <c r="F16" s="177" t="e">
        <f t="shared" ref="F16:N16" si="0">SUM(F14:F15)</f>
        <v>#REF!</v>
      </c>
      <c r="G16" s="177" t="e">
        <f t="shared" si="0"/>
        <v>#REF!</v>
      </c>
      <c r="H16" s="177" t="e">
        <f t="shared" si="0"/>
        <v>#REF!</v>
      </c>
      <c r="I16" s="177" t="e">
        <f t="shared" si="0"/>
        <v>#REF!</v>
      </c>
      <c r="J16" s="176" t="e">
        <f t="shared" si="0"/>
        <v>#REF!</v>
      </c>
      <c r="K16" s="177" t="e">
        <f t="shared" si="0"/>
        <v>#REF!</v>
      </c>
      <c r="L16" s="177" t="e">
        <f t="shared" si="0"/>
        <v>#REF!</v>
      </c>
      <c r="M16" s="178" t="e">
        <f t="shared" si="0"/>
        <v>#REF!</v>
      </c>
      <c r="N16" s="177" t="e">
        <f t="shared" si="0"/>
        <v>#REF!</v>
      </c>
      <c r="O16" s="177">
        <f>O14</f>
        <v>12748</v>
      </c>
      <c r="P16" s="177">
        <f>SUM(P14)</f>
        <v>9338</v>
      </c>
      <c r="Q16" s="178">
        <f>SUM(Q14)</f>
        <v>9246</v>
      </c>
      <c r="R16" s="177">
        <f t="shared" ref="R16:AX16" si="1">SUM(R14)</f>
        <v>34555</v>
      </c>
      <c r="S16" s="177">
        <f t="shared" si="1"/>
        <v>23339</v>
      </c>
      <c r="T16" s="177">
        <f t="shared" si="1"/>
        <v>18338</v>
      </c>
      <c r="U16" s="178">
        <f t="shared" si="1"/>
        <v>16445</v>
      </c>
      <c r="V16" s="177">
        <f t="shared" si="1"/>
        <v>21333</v>
      </c>
      <c r="W16" s="177">
        <f t="shared" si="1"/>
        <v>26421</v>
      </c>
      <c r="X16" s="177">
        <f t="shared" si="1"/>
        <v>13775</v>
      </c>
      <c r="Y16" s="178">
        <f t="shared" si="1"/>
        <v>20925</v>
      </c>
      <c r="Z16" s="177">
        <f t="shared" si="1"/>
        <v>0</v>
      </c>
      <c r="AA16" s="177">
        <f t="shared" si="1"/>
        <v>0</v>
      </c>
      <c r="AB16" s="177">
        <f t="shared" si="1"/>
        <v>0</v>
      </c>
      <c r="AC16" s="178">
        <f t="shared" si="1"/>
        <v>0</v>
      </c>
      <c r="AD16" s="177">
        <f t="shared" si="1"/>
        <v>0</v>
      </c>
      <c r="AE16" s="177">
        <f t="shared" si="1"/>
        <v>0</v>
      </c>
      <c r="AF16" s="177">
        <f t="shared" si="1"/>
        <v>0</v>
      </c>
      <c r="AG16" s="178">
        <f t="shared" si="1"/>
        <v>0</v>
      </c>
      <c r="AH16" s="133">
        <f t="shared" si="1"/>
        <v>0</v>
      </c>
      <c r="AI16" s="178">
        <f t="shared" si="1"/>
        <v>0</v>
      </c>
      <c r="AJ16" s="178">
        <f t="shared" si="1"/>
        <v>0</v>
      </c>
      <c r="AK16" s="177">
        <f t="shared" si="1"/>
        <v>0</v>
      </c>
      <c r="AL16" s="134"/>
      <c r="AM16" s="175" t="e">
        <f>SUM(AM14:AM15)</f>
        <v>#REF!</v>
      </c>
      <c r="AN16" s="239">
        <f>SUM(AN14)</f>
        <v>31332</v>
      </c>
      <c r="AO16" s="239" t="e">
        <f>+AR16-AS16</f>
        <v>#REF!</v>
      </c>
      <c r="AP16" s="95" t="e">
        <f>IF(OR((AO16/AS16)&gt;3,(AO16/AS16)&lt;-3),"n.m.",(AO16/AS16))</f>
        <v>#REF!</v>
      </c>
      <c r="AQ16" s="174"/>
      <c r="AR16" s="244" t="e">
        <f>SUM(AR14:AR15)</f>
        <v>#REF!</v>
      </c>
      <c r="AS16" s="244" t="e">
        <f>SUM(AS14:AS15)</f>
        <v>#REF!</v>
      </c>
      <c r="AT16" s="244">
        <f t="shared" si="1"/>
        <v>92677</v>
      </c>
      <c r="AU16" s="133">
        <f t="shared" si="1"/>
        <v>82454</v>
      </c>
      <c r="AV16" s="133">
        <f t="shared" si="1"/>
        <v>72926</v>
      </c>
      <c r="AW16" s="133">
        <f t="shared" si="1"/>
        <v>118332</v>
      </c>
      <c r="AX16" s="133">
        <f t="shared" si="1"/>
        <v>129852</v>
      </c>
      <c r="AY16" s="222">
        <v>125900</v>
      </c>
      <c r="AZ16" s="222">
        <v>116090</v>
      </c>
      <c r="BA16" s="113">
        <v>84489</v>
      </c>
      <c r="BB16" s="23"/>
      <c r="BC16" s="3"/>
      <c r="BD16" s="3"/>
      <c r="BG16" s="3"/>
    </row>
    <row r="17" spans="1:59" ht="12.75" customHeight="1" x14ac:dyDescent="0.2">
      <c r="A17" s="413" t="s">
        <v>5</v>
      </c>
      <c r="B17" s="6"/>
      <c r="C17" s="171"/>
      <c r="D17" s="449"/>
      <c r="E17" s="353"/>
      <c r="F17" s="505"/>
      <c r="G17" s="505"/>
      <c r="H17" s="505"/>
      <c r="I17" s="505"/>
      <c r="J17" s="495"/>
      <c r="K17" s="505"/>
      <c r="L17" s="505"/>
      <c r="M17" s="506"/>
      <c r="N17" s="465"/>
      <c r="O17" s="465"/>
      <c r="P17" s="163"/>
      <c r="Q17" s="167"/>
      <c r="R17" s="163"/>
      <c r="S17" s="163"/>
      <c r="T17" s="163"/>
      <c r="U17" s="167"/>
      <c r="V17" s="163"/>
      <c r="W17" s="163"/>
      <c r="X17" s="163"/>
      <c r="Y17" s="167"/>
      <c r="Z17" s="163"/>
      <c r="AA17" s="163"/>
      <c r="AB17" s="163"/>
      <c r="AC17" s="167"/>
      <c r="AD17" s="163"/>
      <c r="AE17" s="163"/>
      <c r="AF17" s="163"/>
      <c r="AG17" s="167"/>
      <c r="AH17" s="132"/>
      <c r="AI17" s="167"/>
      <c r="AJ17" s="167"/>
      <c r="AK17" s="167"/>
      <c r="AL17" s="134"/>
      <c r="AM17" s="171"/>
      <c r="AN17" s="183"/>
      <c r="AO17" s="183"/>
      <c r="AP17" s="449"/>
      <c r="AQ17" s="174"/>
      <c r="AR17" s="498"/>
      <c r="AS17" s="237"/>
      <c r="AT17" s="237"/>
      <c r="AU17" s="134"/>
      <c r="AV17" s="134"/>
      <c r="AW17" s="132"/>
      <c r="AX17" s="132"/>
      <c r="AY17" s="37"/>
      <c r="AZ17" s="37"/>
      <c r="BA17" s="464"/>
      <c r="BB17" s="23"/>
      <c r="BC17" s="3"/>
      <c r="BD17" s="3"/>
      <c r="BG17" s="3"/>
    </row>
    <row r="18" spans="1:59" s="485" customFormat="1" ht="12.75" customHeight="1" x14ac:dyDescent="0.2">
      <c r="A18" s="413"/>
      <c r="B18" s="6" t="s">
        <v>308</v>
      </c>
      <c r="C18" s="171">
        <f t="shared" ref="C18:C33" si="2">I18-M18</f>
        <v>5562.6535697325889</v>
      </c>
      <c r="D18" s="503">
        <f t="shared" ref="D18:D30" si="3">IF(OR((C18/M18)&gt;3,(C18/M18)&lt;-3),"n.m.",(C18/M18))</f>
        <v>0.3050202099979486</v>
      </c>
      <c r="E18" s="502"/>
      <c r="F18" s="505"/>
      <c r="G18" s="505"/>
      <c r="H18" s="505"/>
      <c r="I18" s="506">
        <f>25210*(1-(I21/I22))</f>
        <v>23799.653569732589</v>
      </c>
      <c r="J18" s="505">
        <f>32761*(1-(J21/J22))</f>
        <v>31708.918900372981</v>
      </c>
      <c r="K18" s="505">
        <f>29932*(1-(K21/K22))-0.5</f>
        <v>28999.683255866861</v>
      </c>
      <c r="L18" s="505">
        <v>27586</v>
      </c>
      <c r="M18" s="506">
        <v>18237</v>
      </c>
      <c r="N18" s="505">
        <v>15530</v>
      </c>
      <c r="O18" s="505">
        <v>4940</v>
      </c>
      <c r="P18" s="505">
        <v>5136</v>
      </c>
      <c r="Q18" s="506">
        <v>4653</v>
      </c>
      <c r="R18" s="505">
        <v>17347</v>
      </c>
      <c r="S18" s="505">
        <v>10930</v>
      </c>
      <c r="T18" s="505">
        <v>8777</v>
      </c>
      <c r="U18" s="506"/>
      <c r="V18" s="505"/>
      <c r="W18" s="505"/>
      <c r="X18" s="505"/>
      <c r="Y18" s="506"/>
      <c r="Z18" s="505"/>
      <c r="AA18" s="505"/>
      <c r="AB18" s="505"/>
      <c r="AC18" s="506"/>
      <c r="AD18" s="505"/>
      <c r="AE18" s="505"/>
      <c r="AF18" s="505"/>
      <c r="AG18" s="506"/>
      <c r="AH18" s="504"/>
      <c r="AI18" s="506"/>
      <c r="AJ18" s="506"/>
      <c r="AK18" s="506"/>
      <c r="AL18" s="134"/>
      <c r="AM18" s="171">
        <f>SUM(K18:M18)</f>
        <v>74822.683255866868</v>
      </c>
      <c r="AN18" s="183">
        <f t="shared" ref="AN18:AN30" si="4">SUM(O18:Q18)</f>
        <v>14729</v>
      </c>
      <c r="AO18" s="183">
        <f t="shared" ref="AO18:AO33" si="5">AR18-AS18</f>
        <v>76282.602156239838</v>
      </c>
      <c r="AP18" s="503">
        <f t="shared" ref="AP18:AP33" si="6">IF(OR((AO18/AS18)&gt;3,(AO18/AS18)&lt;-3),"n.m.",(AO18/AS18))</f>
        <v>2.5218222802816568</v>
      </c>
      <c r="AQ18" s="174"/>
      <c r="AR18" s="461">
        <f>SUM(J18:M18)</f>
        <v>106531.60215623984</v>
      </c>
      <c r="AS18" s="461">
        <v>30249</v>
      </c>
      <c r="AT18" s="461">
        <v>43961</v>
      </c>
      <c r="AU18" s="531">
        <v>41083</v>
      </c>
      <c r="AV18" s="531">
        <v>32542</v>
      </c>
      <c r="AW18" s="504">
        <v>55744</v>
      </c>
      <c r="AX18" s="504"/>
      <c r="AY18" s="37"/>
      <c r="AZ18" s="37"/>
      <c r="BA18" s="464"/>
      <c r="BB18" s="23"/>
      <c r="BC18" s="486"/>
      <c r="BD18" s="486"/>
      <c r="BG18" s="486"/>
    </row>
    <row r="19" spans="1:59" s="485" customFormat="1" ht="12.75" customHeight="1" x14ac:dyDescent="0.2">
      <c r="A19" s="413"/>
      <c r="B19" s="6" t="s">
        <v>309</v>
      </c>
      <c r="C19" s="179">
        <f t="shared" si="2"/>
        <v>-3864.4611675325887</v>
      </c>
      <c r="D19" s="95">
        <f t="shared" si="3"/>
        <v>-0.58499260786142726</v>
      </c>
      <c r="E19" s="502"/>
      <c r="F19" s="169"/>
      <c r="G19" s="169"/>
      <c r="H19" s="169"/>
      <c r="I19" s="170">
        <f>2904*(1-(I21/I22))</f>
        <v>2741.5388324674113</v>
      </c>
      <c r="J19" s="169">
        <f>3429*(1-(J21/J22))</f>
        <v>3318.8816858270184</v>
      </c>
      <c r="K19" s="169">
        <f>3687*(1-(K21/K22))</f>
        <v>3572.219553133139</v>
      </c>
      <c r="L19" s="169">
        <v>3358</v>
      </c>
      <c r="M19" s="170">
        <v>6606</v>
      </c>
      <c r="N19" s="169">
        <v>-1363</v>
      </c>
      <c r="O19" s="169">
        <v>990</v>
      </c>
      <c r="P19" s="169">
        <v>783</v>
      </c>
      <c r="Q19" s="170">
        <v>1028</v>
      </c>
      <c r="R19" s="169">
        <v>-508</v>
      </c>
      <c r="S19" s="169">
        <v>1616</v>
      </c>
      <c r="T19" s="169">
        <v>445</v>
      </c>
      <c r="U19" s="506"/>
      <c r="V19" s="505"/>
      <c r="W19" s="505"/>
      <c r="X19" s="505"/>
      <c r="Y19" s="506"/>
      <c r="Z19" s="505"/>
      <c r="AA19" s="505"/>
      <c r="AB19" s="505"/>
      <c r="AC19" s="506"/>
      <c r="AD19" s="505"/>
      <c r="AE19" s="505"/>
      <c r="AF19" s="505"/>
      <c r="AG19" s="506"/>
      <c r="AH19" s="504"/>
      <c r="AI19" s="506"/>
      <c r="AJ19" s="506"/>
      <c r="AK19" s="506"/>
      <c r="AL19" s="134"/>
      <c r="AM19" s="179">
        <f t="shared" ref="AM19:AM30" si="7">SUM(K19:M19)</f>
        <v>13536.219553133138</v>
      </c>
      <c r="AN19" s="243">
        <f t="shared" si="4"/>
        <v>2801</v>
      </c>
      <c r="AO19" s="243">
        <f t="shared" si="5"/>
        <v>15406.101238960156</v>
      </c>
      <c r="AP19" s="95" t="str">
        <f t="shared" si="6"/>
        <v>n.m.</v>
      </c>
      <c r="AQ19" s="174"/>
      <c r="AR19" s="442">
        <f>SUM(J19:M19)</f>
        <v>16855.101238960156</v>
      </c>
      <c r="AS19" s="442">
        <v>1449</v>
      </c>
      <c r="AT19" s="442">
        <v>2297</v>
      </c>
      <c r="AU19" s="533">
        <v>3323</v>
      </c>
      <c r="AV19" s="533">
        <v>1879</v>
      </c>
      <c r="AW19" s="137">
        <v>3963</v>
      </c>
      <c r="AX19" s="504"/>
      <c r="AY19" s="37"/>
      <c r="AZ19" s="37"/>
      <c r="BA19" s="464"/>
      <c r="BB19" s="23"/>
      <c r="BC19" s="486"/>
      <c r="BD19" s="486"/>
      <c r="BG19" s="486"/>
    </row>
    <row r="20" spans="1:59" ht="12.75" customHeight="1" x14ac:dyDescent="0.2">
      <c r="A20" s="7"/>
      <c r="B20" s="44" t="s">
        <v>346</v>
      </c>
      <c r="C20" s="171">
        <f t="shared" si="2"/>
        <v>1697.833051200003</v>
      </c>
      <c r="D20" s="503">
        <f t="shared" si="3"/>
        <v>6.8341524477914917E-2</v>
      </c>
      <c r="E20" s="353"/>
      <c r="F20" s="505"/>
      <c r="G20" s="505"/>
      <c r="H20" s="505"/>
      <c r="I20" s="506">
        <f>+I18+I19</f>
        <v>26541.192402200002</v>
      </c>
      <c r="J20" s="505">
        <f>+J18+J19</f>
        <v>35027.800586199999</v>
      </c>
      <c r="K20" s="505">
        <f>+K18+K19</f>
        <v>32571.902808999999</v>
      </c>
      <c r="L20" s="505">
        <f>+L22-L21</f>
        <v>30944.119799600001</v>
      </c>
      <c r="M20" s="506">
        <f>+M22-M21</f>
        <v>24843.359350999999</v>
      </c>
      <c r="N20" s="465">
        <f>N22-N21</f>
        <v>14167.216553833334</v>
      </c>
      <c r="O20" s="465">
        <f>O22-O21</f>
        <v>5930.257002166667</v>
      </c>
      <c r="P20" s="163">
        <f>P22-P21</f>
        <v>5918.9033505666666</v>
      </c>
      <c r="Q20" s="167">
        <f>Q22-Q21</f>
        <v>5681.4430129000002</v>
      </c>
      <c r="R20" s="163">
        <f t="shared" ref="R20:AX20" si="8">R22-R21</f>
        <v>16839.491104000001</v>
      </c>
      <c r="S20" s="163">
        <f t="shared" si="8"/>
        <v>12546.475937666666</v>
      </c>
      <c r="T20" s="163">
        <f t="shared" si="8"/>
        <v>9221.5742077333325</v>
      </c>
      <c r="U20" s="167">
        <f t="shared" si="8"/>
        <v>7649.9590927999998</v>
      </c>
      <c r="V20" s="163">
        <f t="shared" si="8"/>
        <v>10824</v>
      </c>
      <c r="W20" s="163">
        <f t="shared" si="8"/>
        <v>15065</v>
      </c>
      <c r="X20" s="163">
        <f t="shared" si="8"/>
        <v>7942</v>
      </c>
      <c r="Y20" s="167">
        <f t="shared" si="8"/>
        <v>10575</v>
      </c>
      <c r="Z20" s="163">
        <f t="shared" si="8"/>
        <v>-349</v>
      </c>
      <c r="AA20" s="163">
        <f t="shared" si="8"/>
        <v>-422</v>
      </c>
      <c r="AB20" s="163">
        <f t="shared" si="8"/>
        <v>-405</v>
      </c>
      <c r="AC20" s="167">
        <f t="shared" si="8"/>
        <v>-383</v>
      </c>
      <c r="AD20" s="163">
        <f t="shared" si="8"/>
        <v>-422</v>
      </c>
      <c r="AE20" s="163">
        <f t="shared" si="8"/>
        <v>-392</v>
      </c>
      <c r="AF20" s="163">
        <f t="shared" si="8"/>
        <v>-369</v>
      </c>
      <c r="AG20" s="167">
        <f t="shared" si="8"/>
        <v>-388</v>
      </c>
      <c r="AH20" s="132">
        <f t="shared" si="8"/>
        <v>-933</v>
      </c>
      <c r="AI20" s="167">
        <f t="shared" si="8"/>
        <v>-548</v>
      </c>
      <c r="AJ20" s="167">
        <f t="shared" si="8"/>
        <v>-629</v>
      </c>
      <c r="AK20" s="167">
        <f t="shared" si="8"/>
        <v>-1404</v>
      </c>
      <c r="AL20" s="134"/>
      <c r="AM20" s="171">
        <f t="shared" si="7"/>
        <v>88359.381959599996</v>
      </c>
      <c r="AN20" s="183">
        <f t="shared" si="4"/>
        <v>17530.603365633335</v>
      </c>
      <c r="AO20" s="183">
        <f t="shared" si="5"/>
        <v>91688.883475733324</v>
      </c>
      <c r="AP20" s="503">
        <f t="shared" si="6"/>
        <v>2.8925927306257484</v>
      </c>
      <c r="AQ20" s="174"/>
      <c r="AR20" s="498">
        <f>AR18+AR19</f>
        <v>123386.70339519999</v>
      </c>
      <c r="AS20" s="237">
        <f>AS22-AS21</f>
        <v>31697.819919466667</v>
      </c>
      <c r="AT20" s="237">
        <f t="shared" si="8"/>
        <v>46257.500342200001</v>
      </c>
      <c r="AU20" s="132">
        <f t="shared" si="8"/>
        <v>44406</v>
      </c>
      <c r="AV20" s="132">
        <f t="shared" si="8"/>
        <v>34421</v>
      </c>
      <c r="AW20" s="132">
        <f t="shared" si="8"/>
        <v>59707</v>
      </c>
      <c r="AX20" s="132">
        <f t="shared" si="8"/>
        <v>68799</v>
      </c>
      <c r="AY20" s="37">
        <v>65303</v>
      </c>
      <c r="AZ20" s="37">
        <v>62316</v>
      </c>
      <c r="BA20" s="464">
        <v>51311</v>
      </c>
      <c r="BB20" s="23"/>
      <c r="BC20" s="3"/>
      <c r="BD20" s="3"/>
      <c r="BG20" s="3"/>
    </row>
    <row r="21" spans="1:59" ht="12.75" customHeight="1" x14ac:dyDescent="0.2">
      <c r="A21" s="7"/>
      <c r="B21" s="487" t="s">
        <v>302</v>
      </c>
      <c r="C21" s="179">
        <f t="shared" si="2"/>
        <v>234.16694879999977</v>
      </c>
      <c r="D21" s="95">
        <f t="shared" si="3"/>
        <v>0.17492890939396519</v>
      </c>
      <c r="E21" s="353"/>
      <c r="F21" s="169"/>
      <c r="G21" s="169"/>
      <c r="H21" s="169"/>
      <c r="I21" s="170">
        <f>+NHI!B112/1000</f>
        <v>1572.8075977999999</v>
      </c>
      <c r="J21" s="169">
        <f>+NHI!E97/1000</f>
        <v>1162.1994138</v>
      </c>
      <c r="K21" s="169">
        <f>+NHI!D95/1000</f>
        <v>1046.5971910000001</v>
      </c>
      <c r="L21" s="169">
        <f>+NHI!C97/1000</f>
        <v>1346.8802003999999</v>
      </c>
      <c r="M21" s="170">
        <f>+NHI!B97/1000</f>
        <v>1338.6406490000002</v>
      </c>
      <c r="N21" s="169">
        <f>NHI!E83/1000</f>
        <v>1181.7834461666666</v>
      </c>
      <c r="O21" s="169">
        <f>NHI!D83/1000</f>
        <v>498.74299783333333</v>
      </c>
      <c r="P21" s="169">
        <v>542.09664943333325</v>
      </c>
      <c r="Q21" s="170">
        <v>527.55698710000001</v>
      </c>
      <c r="R21" s="169">
        <v>418.50889599999999</v>
      </c>
      <c r="S21" s="169">
        <v>422.52406233333329</v>
      </c>
      <c r="T21" s="169">
        <v>430.42579226666663</v>
      </c>
      <c r="U21" s="170">
        <v>388.04090719999999</v>
      </c>
      <c r="V21" s="169">
        <v>380</v>
      </c>
      <c r="W21" s="169">
        <v>456</v>
      </c>
      <c r="X21" s="169">
        <v>371</v>
      </c>
      <c r="Y21" s="170">
        <v>362</v>
      </c>
      <c r="Z21" s="169">
        <v>349</v>
      </c>
      <c r="AA21" s="169">
        <v>422</v>
      </c>
      <c r="AB21" s="169">
        <v>405</v>
      </c>
      <c r="AC21" s="170">
        <v>383</v>
      </c>
      <c r="AD21" s="169">
        <v>422</v>
      </c>
      <c r="AE21" s="169">
        <v>392</v>
      </c>
      <c r="AF21" s="169">
        <v>369</v>
      </c>
      <c r="AG21" s="170">
        <v>388</v>
      </c>
      <c r="AH21" s="132">
        <v>933</v>
      </c>
      <c r="AI21" s="167">
        <v>548</v>
      </c>
      <c r="AJ21" s="170">
        <v>629</v>
      </c>
      <c r="AK21" s="170">
        <v>1404</v>
      </c>
      <c r="AL21" s="134"/>
      <c r="AM21" s="179">
        <f t="shared" si="7"/>
        <v>3732.1180403999997</v>
      </c>
      <c r="AN21" s="243">
        <f t="shared" si="4"/>
        <v>1568.3966343666666</v>
      </c>
      <c r="AO21" s="243">
        <f t="shared" si="5"/>
        <v>2144.1373736666665</v>
      </c>
      <c r="AP21" s="95">
        <f t="shared" si="6"/>
        <v>0.77963526419363094</v>
      </c>
      <c r="AQ21" s="174"/>
      <c r="AR21" s="179">
        <f>SUM(J21:M21)</f>
        <v>4894.3174541999997</v>
      </c>
      <c r="AS21" s="179">
        <f>SUM(N21:Q21)</f>
        <v>2750.1800805333332</v>
      </c>
      <c r="AT21" s="179">
        <v>1659.4996577999998</v>
      </c>
      <c r="AU21" s="137">
        <v>1569</v>
      </c>
      <c r="AV21" s="137">
        <v>1559</v>
      </c>
      <c r="AW21" s="137">
        <v>1571</v>
      </c>
      <c r="AX21" s="137">
        <v>3514</v>
      </c>
      <c r="AY21" s="37">
        <v>3586</v>
      </c>
      <c r="AZ21" s="105">
        <v>3711</v>
      </c>
      <c r="BA21" s="270">
        <v>2665</v>
      </c>
      <c r="BB21" s="23"/>
      <c r="BC21" s="3"/>
      <c r="BD21" s="3"/>
      <c r="BG21" s="3"/>
    </row>
    <row r="22" spans="1:59" ht="12.75" customHeight="1" x14ac:dyDescent="0.2">
      <c r="A22" s="7"/>
      <c r="B22" s="44" t="s">
        <v>93</v>
      </c>
      <c r="C22" s="171">
        <f t="shared" si="2"/>
        <v>1932</v>
      </c>
      <c r="D22" s="503">
        <f t="shared" si="3"/>
        <v>7.3791154228095637E-2</v>
      </c>
      <c r="E22" s="353"/>
      <c r="F22" s="505"/>
      <c r="G22" s="505"/>
      <c r="H22" s="505"/>
      <c r="I22" s="506">
        <v>28114</v>
      </c>
      <c r="J22" s="505">
        <v>36190</v>
      </c>
      <c r="K22" s="505">
        <v>33619</v>
      </c>
      <c r="L22" s="505">
        <v>32291</v>
      </c>
      <c r="M22" s="506">
        <v>26182</v>
      </c>
      <c r="N22" s="465">
        <v>15349</v>
      </c>
      <c r="O22" s="465">
        <v>6429</v>
      </c>
      <c r="P22" s="163">
        <v>6461</v>
      </c>
      <c r="Q22" s="167">
        <v>6209</v>
      </c>
      <c r="R22" s="163">
        <v>17258</v>
      </c>
      <c r="S22" s="163">
        <v>12969</v>
      </c>
      <c r="T22" s="163">
        <v>9652</v>
      </c>
      <c r="U22" s="167">
        <v>8038</v>
      </c>
      <c r="V22" s="163">
        <v>11204</v>
      </c>
      <c r="W22" s="163">
        <v>15521</v>
      </c>
      <c r="X22" s="163">
        <v>8313</v>
      </c>
      <c r="Y22" s="167">
        <v>10937</v>
      </c>
      <c r="Z22" s="163"/>
      <c r="AA22" s="163"/>
      <c r="AB22" s="163"/>
      <c r="AC22" s="167"/>
      <c r="AD22" s="163"/>
      <c r="AE22" s="163"/>
      <c r="AF22" s="163"/>
      <c r="AG22" s="167"/>
      <c r="AH22" s="186"/>
      <c r="AI22" s="165"/>
      <c r="AJ22" s="167"/>
      <c r="AK22" s="167"/>
      <c r="AL22" s="134"/>
      <c r="AM22" s="171">
        <f t="shared" si="7"/>
        <v>92092</v>
      </c>
      <c r="AN22" s="183">
        <f t="shared" si="4"/>
        <v>19099</v>
      </c>
      <c r="AO22" s="183">
        <f t="shared" si="5"/>
        <v>93834</v>
      </c>
      <c r="AP22" s="503">
        <f t="shared" si="6"/>
        <v>2.7239317231769622</v>
      </c>
      <c r="AQ22" s="174"/>
      <c r="AR22" s="498">
        <f>SUM(J22:M22)</f>
        <v>128282</v>
      </c>
      <c r="AS22" s="237">
        <f>SUM(N22:Q22)</f>
        <v>34448</v>
      </c>
      <c r="AT22" s="237">
        <v>47917</v>
      </c>
      <c r="AU22" s="132">
        <v>45975</v>
      </c>
      <c r="AV22" s="132">
        <v>35980</v>
      </c>
      <c r="AW22" s="132">
        <v>61278</v>
      </c>
      <c r="AX22" s="132">
        <v>72313</v>
      </c>
      <c r="AY22" s="227">
        <v>68889</v>
      </c>
      <c r="AZ22" s="227">
        <v>66027</v>
      </c>
      <c r="BA22" s="315">
        <v>53976</v>
      </c>
      <c r="BB22" s="23"/>
      <c r="BC22" s="3"/>
      <c r="BD22" s="3"/>
      <c r="BG22" s="3"/>
    </row>
    <row r="23" spans="1:59" ht="12.75" customHeight="1" x14ac:dyDescent="0.2">
      <c r="A23" s="7"/>
      <c r="B23" s="44" t="s">
        <v>66</v>
      </c>
      <c r="C23" s="171">
        <f t="shared" si="2"/>
        <v>495</v>
      </c>
      <c r="D23" s="503">
        <f t="shared" si="3"/>
        <v>7.4212893553223386E-2</v>
      </c>
      <c r="E23" s="353"/>
      <c r="F23" s="505"/>
      <c r="G23" s="505"/>
      <c r="H23" s="505"/>
      <c r="I23" s="506">
        <v>7165</v>
      </c>
      <c r="J23" s="505">
        <v>6332</v>
      </c>
      <c r="K23" s="505">
        <v>6565</v>
      </c>
      <c r="L23" s="505">
        <v>5761</v>
      </c>
      <c r="M23" s="506">
        <v>6670</v>
      </c>
      <c r="N23" s="465">
        <v>1917</v>
      </c>
      <c r="O23" s="465">
        <f>1663-410</f>
        <v>1253</v>
      </c>
      <c r="P23" s="163">
        <v>1213</v>
      </c>
      <c r="Q23" s="167">
        <v>1267</v>
      </c>
      <c r="R23" s="163">
        <v>1248</v>
      </c>
      <c r="S23" s="163">
        <v>1303</v>
      </c>
      <c r="T23" s="163">
        <v>1255</v>
      </c>
      <c r="U23" s="167">
        <v>1242</v>
      </c>
      <c r="V23" s="163">
        <v>1904</v>
      </c>
      <c r="W23" s="163">
        <v>1672</v>
      </c>
      <c r="X23" s="163">
        <v>1396</v>
      </c>
      <c r="Y23" s="167">
        <v>1473</v>
      </c>
      <c r="Z23" s="163"/>
      <c r="AA23" s="163"/>
      <c r="AB23" s="163"/>
      <c r="AC23" s="167"/>
      <c r="AD23" s="163"/>
      <c r="AE23" s="163"/>
      <c r="AF23" s="163"/>
      <c r="AG23" s="167"/>
      <c r="AH23" s="132"/>
      <c r="AI23" s="167"/>
      <c r="AJ23" s="167"/>
      <c r="AK23" s="167"/>
      <c r="AL23" s="134"/>
      <c r="AM23" s="171">
        <f t="shared" si="7"/>
        <v>18996</v>
      </c>
      <c r="AN23" s="183">
        <f t="shared" si="4"/>
        <v>3733</v>
      </c>
      <c r="AO23" s="183">
        <f t="shared" si="5"/>
        <v>19678</v>
      </c>
      <c r="AP23" s="503" t="str">
        <f t="shared" si="6"/>
        <v>n.m.</v>
      </c>
      <c r="AQ23" s="174"/>
      <c r="AR23" s="37">
        <f>SUM(J23:M23)</f>
        <v>25328</v>
      </c>
      <c r="AS23" s="37">
        <f t="shared" ref="AS23:AS30" si="9">SUM(N23:Q23)</f>
        <v>5650</v>
      </c>
      <c r="AT23" s="37">
        <f>SUM(R23:U23)</f>
        <v>5048</v>
      </c>
      <c r="AU23" s="37">
        <f>SUM(V23:Y23)</f>
        <v>6445</v>
      </c>
      <c r="AV23" s="132">
        <v>5563</v>
      </c>
      <c r="AW23" s="132">
        <v>4547</v>
      </c>
      <c r="AX23" s="132">
        <v>3100</v>
      </c>
      <c r="AY23" s="37">
        <v>3210</v>
      </c>
      <c r="AZ23" s="37">
        <v>8795</v>
      </c>
      <c r="BA23" s="464">
        <v>5858</v>
      </c>
      <c r="BB23" s="23"/>
      <c r="BC23" s="3"/>
      <c r="BD23" s="3"/>
      <c r="BG23" s="3"/>
    </row>
    <row r="24" spans="1:59" ht="12.75" hidden="1" customHeight="1" x14ac:dyDescent="0.2">
      <c r="A24" s="7"/>
      <c r="B24" s="6" t="s">
        <v>191</v>
      </c>
      <c r="C24" s="171">
        <f t="shared" si="2"/>
        <v>0</v>
      </c>
      <c r="D24" s="449" t="e">
        <f t="shared" si="3"/>
        <v>#DIV/0!</v>
      </c>
      <c r="E24" s="353"/>
      <c r="F24" s="512"/>
      <c r="G24" s="512"/>
      <c r="H24" s="512"/>
      <c r="I24" s="26"/>
      <c r="J24" s="512"/>
      <c r="K24" s="512"/>
      <c r="L24" s="512"/>
      <c r="M24" s="26"/>
      <c r="N24" s="28"/>
      <c r="O24" s="28"/>
      <c r="P24" s="28"/>
      <c r="Q24" s="26"/>
      <c r="R24" s="28"/>
      <c r="S24" s="28"/>
      <c r="T24" s="28"/>
      <c r="U24" s="26"/>
      <c r="V24" s="28"/>
      <c r="W24" s="28"/>
      <c r="X24" s="28"/>
      <c r="Y24" s="26"/>
      <c r="Z24" s="28"/>
      <c r="AA24" s="28"/>
      <c r="AB24" s="28"/>
      <c r="AC24" s="26"/>
      <c r="AD24" s="163"/>
      <c r="AE24" s="163"/>
      <c r="AF24" s="163"/>
      <c r="AG24" s="167"/>
      <c r="AH24" s="132"/>
      <c r="AI24" s="167"/>
      <c r="AJ24" s="167"/>
      <c r="AK24" s="167"/>
      <c r="AL24" s="134"/>
      <c r="AM24" s="171">
        <f t="shared" si="7"/>
        <v>0</v>
      </c>
      <c r="AN24" s="183">
        <f t="shared" si="4"/>
        <v>0</v>
      </c>
      <c r="AO24" s="183">
        <f t="shared" si="5"/>
        <v>0</v>
      </c>
      <c r="AP24" s="503" t="e">
        <f t="shared" si="6"/>
        <v>#DIV/0!</v>
      </c>
      <c r="AQ24" s="172"/>
      <c r="AR24" s="37">
        <f t="shared" ref="AR24:AR33" si="10">SUM(J24:M24)</f>
        <v>0</v>
      </c>
      <c r="AS24" s="37">
        <f t="shared" si="9"/>
        <v>0</v>
      </c>
      <c r="AT24" s="37">
        <f t="shared" ref="AT24:AT30" si="11">SUM(R24:U24)</f>
        <v>0</v>
      </c>
      <c r="AU24" s="37">
        <f t="shared" ref="AU24:AU30" si="12">SUM(V24:Y24)</f>
        <v>0</v>
      </c>
      <c r="AV24" s="37"/>
      <c r="AW24" s="37"/>
      <c r="AX24" s="37"/>
      <c r="AY24" s="37">
        <v>0</v>
      </c>
      <c r="AZ24" s="37"/>
      <c r="BA24" s="464"/>
      <c r="BB24" s="23"/>
      <c r="BC24" s="3"/>
      <c r="BD24" s="3"/>
      <c r="BG24" s="3"/>
    </row>
    <row r="25" spans="1:59" ht="12.75" customHeight="1" x14ac:dyDescent="0.2">
      <c r="A25" s="7"/>
      <c r="B25" s="44" t="s">
        <v>92</v>
      </c>
      <c r="C25" s="171">
        <f t="shared" si="2"/>
        <v>353</v>
      </c>
      <c r="D25" s="449">
        <f t="shared" si="3"/>
        <v>0.20825958702064898</v>
      </c>
      <c r="E25" s="353"/>
      <c r="F25" s="505"/>
      <c r="G25" s="505"/>
      <c r="H25" s="505"/>
      <c r="I25" s="506">
        <v>2048</v>
      </c>
      <c r="J25" s="505">
        <v>1918</v>
      </c>
      <c r="K25" s="505">
        <v>1819</v>
      </c>
      <c r="L25" s="505">
        <v>1582</v>
      </c>
      <c r="M25" s="506">
        <v>1695</v>
      </c>
      <c r="N25" s="465">
        <v>742</v>
      </c>
      <c r="O25" s="465">
        <v>809</v>
      </c>
      <c r="P25" s="163">
        <v>940</v>
      </c>
      <c r="Q25" s="167">
        <v>1024</v>
      </c>
      <c r="R25" s="163">
        <v>983</v>
      </c>
      <c r="S25" s="163">
        <v>870</v>
      </c>
      <c r="T25" s="163">
        <v>841</v>
      </c>
      <c r="U25" s="167">
        <v>820</v>
      </c>
      <c r="V25" s="163">
        <v>781</v>
      </c>
      <c r="W25" s="163">
        <v>808</v>
      </c>
      <c r="X25" s="163">
        <v>968</v>
      </c>
      <c r="Y25" s="167">
        <v>995</v>
      </c>
      <c r="Z25" s="163"/>
      <c r="AA25" s="163"/>
      <c r="AB25" s="163"/>
      <c r="AC25" s="167"/>
      <c r="AD25" s="163"/>
      <c r="AE25" s="163"/>
      <c r="AF25" s="163"/>
      <c r="AG25" s="167"/>
      <c r="AH25" s="132"/>
      <c r="AI25" s="167"/>
      <c r="AJ25" s="167"/>
      <c r="AK25" s="167"/>
      <c r="AL25" s="134"/>
      <c r="AM25" s="171">
        <f t="shared" si="7"/>
        <v>5096</v>
      </c>
      <c r="AN25" s="183">
        <f t="shared" si="4"/>
        <v>2773</v>
      </c>
      <c r="AO25" s="183">
        <f t="shared" si="5"/>
        <v>3499</v>
      </c>
      <c r="AP25" s="503">
        <f t="shared" si="6"/>
        <v>0.99544807965860593</v>
      </c>
      <c r="AQ25" s="174"/>
      <c r="AR25" s="37">
        <f t="shared" si="10"/>
        <v>7014</v>
      </c>
      <c r="AS25" s="37">
        <f t="shared" si="9"/>
        <v>3515</v>
      </c>
      <c r="AT25" s="37">
        <f t="shared" si="11"/>
        <v>3514</v>
      </c>
      <c r="AU25" s="37">
        <f t="shared" si="12"/>
        <v>3552</v>
      </c>
      <c r="AV25" s="132">
        <v>2941</v>
      </c>
      <c r="AW25" s="132">
        <v>2179</v>
      </c>
      <c r="AX25" s="132">
        <v>1477</v>
      </c>
      <c r="AY25" s="37">
        <v>1190</v>
      </c>
      <c r="AZ25" s="37">
        <v>1163</v>
      </c>
      <c r="BA25" s="464">
        <v>1117</v>
      </c>
      <c r="BB25" s="23"/>
      <c r="BC25" s="3"/>
      <c r="BD25" s="3"/>
      <c r="BG25" s="3"/>
    </row>
    <row r="26" spans="1:59" ht="12.75" customHeight="1" x14ac:dyDescent="0.2">
      <c r="A26" s="7"/>
      <c r="B26" s="44" t="s">
        <v>68</v>
      </c>
      <c r="C26" s="171">
        <f t="shared" si="2"/>
        <v>-743</v>
      </c>
      <c r="D26" s="503">
        <f t="shared" si="3"/>
        <v>-0.18547179231153271</v>
      </c>
      <c r="E26" s="353"/>
      <c r="F26" s="505"/>
      <c r="G26" s="505"/>
      <c r="H26" s="505"/>
      <c r="I26" s="506">
        <v>3263</v>
      </c>
      <c r="J26" s="505">
        <v>3612</v>
      </c>
      <c r="K26" s="505">
        <v>3366</v>
      </c>
      <c r="L26" s="505">
        <v>3777</v>
      </c>
      <c r="M26" s="506">
        <v>4006</v>
      </c>
      <c r="N26" s="465">
        <v>1276</v>
      </c>
      <c r="O26" s="465">
        <v>861</v>
      </c>
      <c r="P26" s="163">
        <v>875</v>
      </c>
      <c r="Q26" s="167">
        <v>960</v>
      </c>
      <c r="R26" s="163">
        <v>855</v>
      </c>
      <c r="S26" s="163">
        <v>870</v>
      </c>
      <c r="T26" s="163">
        <v>875</v>
      </c>
      <c r="U26" s="167">
        <v>874</v>
      </c>
      <c r="V26" s="163">
        <v>944</v>
      </c>
      <c r="W26" s="163">
        <v>1054</v>
      </c>
      <c r="X26" s="163">
        <v>906</v>
      </c>
      <c r="Y26" s="167">
        <v>938</v>
      </c>
      <c r="Z26" s="163"/>
      <c r="AA26" s="163"/>
      <c r="AB26" s="163"/>
      <c r="AC26" s="167"/>
      <c r="AD26" s="163"/>
      <c r="AE26" s="163"/>
      <c r="AF26" s="163"/>
      <c r="AG26" s="167"/>
      <c r="AH26" s="132"/>
      <c r="AI26" s="167"/>
      <c r="AJ26" s="167"/>
      <c r="AK26" s="167"/>
      <c r="AL26" s="134"/>
      <c r="AM26" s="171">
        <f t="shared" si="7"/>
        <v>11149</v>
      </c>
      <c r="AN26" s="183">
        <f t="shared" si="4"/>
        <v>2696</v>
      </c>
      <c r="AO26" s="183">
        <f t="shared" si="5"/>
        <v>10789</v>
      </c>
      <c r="AP26" s="503">
        <f t="shared" si="6"/>
        <v>2.7162638469284994</v>
      </c>
      <c r="AQ26" s="174"/>
      <c r="AR26" s="37">
        <f t="shared" si="10"/>
        <v>14761</v>
      </c>
      <c r="AS26" s="37">
        <f t="shared" si="9"/>
        <v>3972</v>
      </c>
      <c r="AT26" s="37">
        <f t="shared" si="11"/>
        <v>3474</v>
      </c>
      <c r="AU26" s="37">
        <f t="shared" si="12"/>
        <v>3842</v>
      </c>
      <c r="AV26" s="132">
        <v>4046</v>
      </c>
      <c r="AW26" s="132">
        <v>3227</v>
      </c>
      <c r="AX26" s="132">
        <v>6343</v>
      </c>
      <c r="AY26" s="37">
        <v>2139</v>
      </c>
      <c r="AZ26" s="37">
        <v>2143</v>
      </c>
      <c r="BA26" s="464">
        <v>2573</v>
      </c>
      <c r="BB26" s="23"/>
      <c r="BC26" s="3"/>
      <c r="BD26" s="3"/>
      <c r="BG26" s="3"/>
    </row>
    <row r="27" spans="1:59" ht="12.75" customHeight="1" x14ac:dyDescent="0.2">
      <c r="A27" s="7"/>
      <c r="B27" s="44" t="s">
        <v>69</v>
      </c>
      <c r="C27" s="171">
        <f t="shared" si="2"/>
        <v>-2730</v>
      </c>
      <c r="D27" s="503">
        <f t="shared" si="3"/>
        <v>-0.4140127388535032</v>
      </c>
      <c r="E27" s="353"/>
      <c r="F27" s="505"/>
      <c r="G27" s="505"/>
      <c r="H27" s="505"/>
      <c r="I27" s="506">
        <v>3864</v>
      </c>
      <c r="J27" s="505">
        <v>4560</v>
      </c>
      <c r="K27" s="505">
        <v>4555</v>
      </c>
      <c r="L27" s="505">
        <v>4099</v>
      </c>
      <c r="M27" s="506">
        <v>6594</v>
      </c>
      <c r="N27" s="465">
        <v>1778</v>
      </c>
      <c r="O27" s="465">
        <v>1399</v>
      </c>
      <c r="P27" s="163">
        <v>1479</v>
      </c>
      <c r="Q27" s="167">
        <v>1345</v>
      </c>
      <c r="R27" s="163">
        <v>1313</v>
      </c>
      <c r="S27" s="163">
        <v>1310</v>
      </c>
      <c r="T27" s="163">
        <v>1340</v>
      </c>
      <c r="U27" s="167">
        <v>1180</v>
      </c>
      <c r="V27" s="163">
        <v>680</v>
      </c>
      <c r="W27" s="163">
        <v>754</v>
      </c>
      <c r="X27" s="163">
        <v>523</v>
      </c>
      <c r="Y27" s="167">
        <v>476</v>
      </c>
      <c r="Z27" s="163"/>
      <c r="AA27" s="163"/>
      <c r="AB27" s="163"/>
      <c r="AC27" s="167"/>
      <c r="AD27" s="163"/>
      <c r="AE27" s="163"/>
      <c r="AF27" s="163"/>
      <c r="AG27" s="167"/>
      <c r="AH27" s="132"/>
      <c r="AI27" s="167"/>
      <c r="AJ27" s="167"/>
      <c r="AK27" s="167"/>
      <c r="AL27" s="134"/>
      <c r="AM27" s="171">
        <f t="shared" si="7"/>
        <v>15248</v>
      </c>
      <c r="AN27" s="183">
        <f t="shared" si="4"/>
        <v>4223</v>
      </c>
      <c r="AO27" s="183">
        <f t="shared" si="5"/>
        <v>13807</v>
      </c>
      <c r="AP27" s="503">
        <f t="shared" si="6"/>
        <v>2.3007832027995332</v>
      </c>
      <c r="AQ27" s="174"/>
      <c r="AR27" s="37">
        <f t="shared" si="10"/>
        <v>19808</v>
      </c>
      <c r="AS27" s="37">
        <f t="shared" si="9"/>
        <v>6001</v>
      </c>
      <c r="AT27" s="37">
        <f t="shared" si="11"/>
        <v>5143</v>
      </c>
      <c r="AU27" s="37">
        <f t="shared" si="12"/>
        <v>2433</v>
      </c>
      <c r="AV27" s="132">
        <v>2049</v>
      </c>
      <c r="AW27" s="132">
        <v>2816</v>
      </c>
      <c r="AX27" s="132">
        <v>2227</v>
      </c>
      <c r="AY27" s="37">
        <v>1440</v>
      </c>
      <c r="AZ27" s="37">
        <v>1036</v>
      </c>
      <c r="BA27" s="464">
        <v>837</v>
      </c>
      <c r="BB27" s="23"/>
      <c r="BC27" s="3"/>
      <c r="BD27" s="3"/>
      <c r="BG27" s="3"/>
    </row>
    <row r="28" spans="1:59" ht="12.75" customHeight="1" x14ac:dyDescent="0.2">
      <c r="A28" s="7"/>
      <c r="B28" s="44" t="s">
        <v>64</v>
      </c>
      <c r="C28" s="171">
        <f t="shared" si="2"/>
        <v>196</v>
      </c>
      <c r="D28" s="503">
        <f t="shared" si="3"/>
        <v>0.23642943305186973</v>
      </c>
      <c r="E28" s="353"/>
      <c r="F28" s="505"/>
      <c r="G28" s="505"/>
      <c r="H28" s="505"/>
      <c r="I28" s="506">
        <v>1025</v>
      </c>
      <c r="J28" s="505">
        <v>843</v>
      </c>
      <c r="K28" s="505">
        <v>824</v>
      </c>
      <c r="L28" s="505">
        <v>925</v>
      </c>
      <c r="M28" s="506">
        <v>829</v>
      </c>
      <c r="N28" s="465">
        <v>154</v>
      </c>
      <c r="O28" s="465">
        <v>8</v>
      </c>
      <c r="P28" s="163">
        <v>17</v>
      </c>
      <c r="Q28" s="167">
        <v>-9</v>
      </c>
      <c r="R28" s="163">
        <v>60</v>
      </c>
      <c r="S28" s="163">
        <v>12</v>
      </c>
      <c r="T28" s="163">
        <v>13</v>
      </c>
      <c r="U28" s="167">
        <v>17</v>
      </c>
      <c r="V28" s="163">
        <v>12</v>
      </c>
      <c r="W28" s="163">
        <v>23</v>
      </c>
      <c r="X28" s="163">
        <v>15</v>
      </c>
      <c r="Y28" s="167">
        <v>24</v>
      </c>
      <c r="Z28" s="163"/>
      <c r="AA28" s="163"/>
      <c r="AB28" s="163"/>
      <c r="AC28" s="167"/>
      <c r="AD28" s="163"/>
      <c r="AE28" s="183"/>
      <c r="AF28" s="183"/>
      <c r="AG28" s="220"/>
      <c r="AH28" s="192"/>
      <c r="AI28" s="167"/>
      <c r="AJ28" s="167"/>
      <c r="AK28" s="220"/>
      <c r="AL28" s="134"/>
      <c r="AM28" s="171">
        <f t="shared" si="7"/>
        <v>2578</v>
      </c>
      <c r="AN28" s="183">
        <f t="shared" si="4"/>
        <v>16</v>
      </c>
      <c r="AO28" s="183">
        <f t="shared" si="5"/>
        <v>3251</v>
      </c>
      <c r="AP28" s="503" t="str">
        <f t="shared" si="6"/>
        <v>n.m.</v>
      </c>
      <c r="AQ28" s="174"/>
      <c r="AR28" s="37">
        <f t="shared" si="10"/>
        <v>3421</v>
      </c>
      <c r="AS28" s="37">
        <f t="shared" si="9"/>
        <v>170</v>
      </c>
      <c r="AT28" s="37">
        <f t="shared" si="11"/>
        <v>102</v>
      </c>
      <c r="AU28" s="37">
        <f t="shared" si="12"/>
        <v>74</v>
      </c>
      <c r="AV28" s="132">
        <v>253</v>
      </c>
      <c r="AW28" s="132">
        <v>-4</v>
      </c>
      <c r="AX28" s="132">
        <v>0</v>
      </c>
      <c r="AY28" s="37">
        <v>5</v>
      </c>
      <c r="AZ28" s="37">
        <v>1</v>
      </c>
      <c r="BA28" s="464">
        <v>35</v>
      </c>
      <c r="BB28" s="23"/>
      <c r="BC28" s="3"/>
      <c r="BD28" s="3"/>
      <c r="BG28" s="3"/>
    </row>
    <row r="29" spans="1:59" ht="12.75" customHeight="1" x14ac:dyDescent="0.2">
      <c r="A29" s="7"/>
      <c r="B29" s="44" t="s">
        <v>89</v>
      </c>
      <c r="C29" s="171">
        <f t="shared" si="2"/>
        <v>-1269</v>
      </c>
      <c r="D29" s="503">
        <f t="shared" si="3"/>
        <v>-0.14067176587961425</v>
      </c>
      <c r="E29" s="353"/>
      <c r="F29" s="505"/>
      <c r="G29" s="505"/>
      <c r="H29" s="505"/>
      <c r="I29" s="506">
        <v>7752</v>
      </c>
      <c r="J29" s="505">
        <v>6822</v>
      </c>
      <c r="K29" s="505">
        <v>9556</v>
      </c>
      <c r="L29" s="505">
        <v>5965</v>
      </c>
      <c r="M29" s="506">
        <v>9021</v>
      </c>
      <c r="N29" s="465">
        <v>3693</v>
      </c>
      <c r="O29" s="465">
        <v>1763</v>
      </c>
      <c r="P29" s="163">
        <v>1485</v>
      </c>
      <c r="Q29" s="167">
        <v>2212</v>
      </c>
      <c r="R29" s="163">
        <v>1710</v>
      </c>
      <c r="S29" s="163">
        <v>1633</v>
      </c>
      <c r="T29" s="163">
        <v>1593</v>
      </c>
      <c r="U29" s="167">
        <v>2463</v>
      </c>
      <c r="V29" s="163">
        <v>1365</v>
      </c>
      <c r="W29" s="163">
        <v>1398</v>
      </c>
      <c r="X29" s="163">
        <v>1575</v>
      </c>
      <c r="Y29" s="167">
        <v>1647</v>
      </c>
      <c r="Z29" s="163"/>
      <c r="AA29" s="163"/>
      <c r="AB29" s="163"/>
      <c r="AC29" s="167"/>
      <c r="AD29" s="163"/>
      <c r="AE29" s="163"/>
      <c r="AF29" s="163"/>
      <c r="AG29" s="167"/>
      <c r="AH29" s="132"/>
      <c r="AI29" s="167"/>
      <c r="AJ29" s="167"/>
      <c r="AK29" s="167"/>
      <c r="AL29" s="134"/>
      <c r="AM29" s="171">
        <f t="shared" si="7"/>
        <v>24542</v>
      </c>
      <c r="AN29" s="183">
        <f t="shared" si="4"/>
        <v>5460</v>
      </c>
      <c r="AO29" s="183">
        <f t="shared" si="5"/>
        <v>22211</v>
      </c>
      <c r="AP29" s="503">
        <f t="shared" si="6"/>
        <v>2.4266360756036272</v>
      </c>
      <c r="AQ29" s="174"/>
      <c r="AR29" s="37">
        <f t="shared" si="10"/>
        <v>31364</v>
      </c>
      <c r="AS29" s="37">
        <f t="shared" si="9"/>
        <v>9153</v>
      </c>
      <c r="AT29" s="37">
        <f t="shared" si="11"/>
        <v>7399</v>
      </c>
      <c r="AU29" s="37">
        <f t="shared" si="12"/>
        <v>5985</v>
      </c>
      <c r="AV29" s="132">
        <v>15606</v>
      </c>
      <c r="AW29" s="132">
        <v>11718</v>
      </c>
      <c r="AX29" s="132">
        <v>10403</v>
      </c>
      <c r="AY29" s="37">
        <v>6374</v>
      </c>
      <c r="AZ29" s="37">
        <v>5879</v>
      </c>
      <c r="BA29" s="464">
        <v>3463</v>
      </c>
      <c r="BB29" s="23"/>
      <c r="BC29" s="3"/>
      <c r="BD29" s="3"/>
      <c r="BG29" s="3"/>
    </row>
    <row r="30" spans="1:59" ht="12.75" customHeight="1" x14ac:dyDescent="0.2">
      <c r="A30" s="7"/>
      <c r="B30" s="44" t="s">
        <v>71</v>
      </c>
      <c r="C30" s="171">
        <f t="shared" si="2"/>
        <v>-695</v>
      </c>
      <c r="D30" s="503">
        <f t="shared" si="3"/>
        <v>-0.19649420412779192</v>
      </c>
      <c r="E30" s="353"/>
      <c r="F30" s="505"/>
      <c r="G30" s="505"/>
      <c r="H30" s="505"/>
      <c r="I30" s="506">
        <v>2842</v>
      </c>
      <c r="J30" s="505">
        <v>3524</v>
      </c>
      <c r="K30" s="505">
        <v>3580</v>
      </c>
      <c r="L30" s="505">
        <v>3478</v>
      </c>
      <c r="M30" s="506">
        <v>3537</v>
      </c>
      <c r="N30" s="465">
        <v>334</v>
      </c>
      <c r="O30" s="465">
        <v>307</v>
      </c>
      <c r="P30" s="163">
        <v>291</v>
      </c>
      <c r="Q30" s="167">
        <v>312</v>
      </c>
      <c r="R30" s="163">
        <v>314</v>
      </c>
      <c r="S30" s="163">
        <v>314</v>
      </c>
      <c r="T30" s="163">
        <v>314</v>
      </c>
      <c r="U30" s="167">
        <v>312</v>
      </c>
      <c r="V30" s="163">
        <v>339</v>
      </c>
      <c r="W30" s="163">
        <v>391</v>
      </c>
      <c r="X30" s="163">
        <v>425</v>
      </c>
      <c r="Y30" s="167">
        <v>448</v>
      </c>
      <c r="Z30" s="163"/>
      <c r="AA30" s="163"/>
      <c r="AB30" s="163"/>
      <c r="AC30" s="167"/>
      <c r="AD30" s="163"/>
      <c r="AE30" s="163"/>
      <c r="AF30" s="163"/>
      <c r="AG30" s="167"/>
      <c r="AH30" s="132"/>
      <c r="AI30" s="167"/>
      <c r="AJ30" s="167"/>
      <c r="AK30" s="167"/>
      <c r="AL30" s="134"/>
      <c r="AM30" s="171">
        <f t="shared" si="7"/>
        <v>10595</v>
      </c>
      <c r="AN30" s="183">
        <f t="shared" si="4"/>
        <v>910</v>
      </c>
      <c r="AO30" s="183">
        <f t="shared" si="5"/>
        <v>12875</v>
      </c>
      <c r="AP30" s="503" t="str">
        <f t="shared" si="6"/>
        <v>n.m.</v>
      </c>
      <c r="AQ30" s="174"/>
      <c r="AR30" s="37">
        <f t="shared" si="10"/>
        <v>14119</v>
      </c>
      <c r="AS30" s="37">
        <f t="shared" si="9"/>
        <v>1244</v>
      </c>
      <c r="AT30" s="37">
        <f t="shared" si="11"/>
        <v>1254</v>
      </c>
      <c r="AU30" s="37">
        <f t="shared" si="12"/>
        <v>1603</v>
      </c>
      <c r="AV30" s="132">
        <v>1843</v>
      </c>
      <c r="AW30" s="132">
        <v>1825</v>
      </c>
      <c r="AX30" s="132">
        <v>2016</v>
      </c>
      <c r="AY30" s="37">
        <v>716</v>
      </c>
      <c r="AZ30" s="37">
        <v>620</v>
      </c>
      <c r="BA30" s="464">
        <v>716</v>
      </c>
      <c r="BB30" s="23"/>
      <c r="BC30" s="3"/>
      <c r="BD30" s="3"/>
      <c r="BG30" s="3"/>
    </row>
    <row r="31" spans="1:59" s="485" customFormat="1" ht="12.75" customHeight="1" x14ac:dyDescent="0.2">
      <c r="A31" s="6"/>
      <c r="B31" s="487" t="s">
        <v>72</v>
      </c>
      <c r="C31" s="171">
        <f t="shared" si="2"/>
        <v>1551</v>
      </c>
      <c r="D31" s="503" t="s">
        <v>42</v>
      </c>
      <c r="E31" s="502"/>
      <c r="F31" s="505"/>
      <c r="G31" s="505"/>
      <c r="H31" s="526"/>
      <c r="I31" s="220">
        <v>1551</v>
      </c>
      <c r="J31" s="505">
        <v>1658</v>
      </c>
      <c r="K31" s="505">
        <v>2664</v>
      </c>
      <c r="L31" s="526">
        <v>0</v>
      </c>
      <c r="M31" s="527">
        <v>0</v>
      </c>
      <c r="N31" s="505">
        <v>1</v>
      </c>
      <c r="O31" s="505">
        <v>512</v>
      </c>
      <c r="P31" s="505">
        <v>533</v>
      </c>
      <c r="Q31" s="506">
        <v>760</v>
      </c>
      <c r="R31" s="505">
        <v>1474</v>
      </c>
      <c r="S31" s="505">
        <v>1103</v>
      </c>
      <c r="T31" s="505">
        <v>1012</v>
      </c>
      <c r="U31" s="506">
        <v>1108</v>
      </c>
      <c r="V31" s="505">
        <v>1972</v>
      </c>
      <c r="W31" s="505">
        <v>345</v>
      </c>
      <c r="X31" s="505">
        <v>343</v>
      </c>
      <c r="Y31" s="506">
        <v>352</v>
      </c>
      <c r="Z31" s="505"/>
      <c r="AA31" s="505"/>
      <c r="AB31" s="505"/>
      <c r="AC31" s="506"/>
      <c r="AD31" s="505"/>
      <c r="AE31" s="505"/>
      <c r="AF31" s="505"/>
      <c r="AG31" s="506"/>
      <c r="AH31" s="504"/>
      <c r="AI31" s="170"/>
      <c r="AJ31" s="506"/>
      <c r="AK31" s="506"/>
      <c r="AL31" s="134"/>
      <c r="AM31" s="171">
        <f>SUM(K31:M31)</f>
        <v>2664</v>
      </c>
      <c r="AN31" s="183">
        <f>SUM(O31:Q31)</f>
        <v>1805</v>
      </c>
      <c r="AO31" s="183">
        <f t="shared" si="5"/>
        <v>2516</v>
      </c>
      <c r="AP31" s="503">
        <f t="shared" si="6"/>
        <v>1.3931339977851607</v>
      </c>
      <c r="AQ31" s="174"/>
      <c r="AR31" s="37">
        <f t="shared" si="10"/>
        <v>4322</v>
      </c>
      <c r="AS31" s="37">
        <f>SUM(N31:Q31)</f>
        <v>1806</v>
      </c>
      <c r="AT31" s="37">
        <f>SUM(R31:U31)</f>
        <v>4697</v>
      </c>
      <c r="AU31" s="37">
        <f>SUM(V31:Y31)</f>
        <v>3012</v>
      </c>
      <c r="AV31" s="504">
        <v>1340</v>
      </c>
      <c r="AW31" s="504">
        <v>1133</v>
      </c>
      <c r="AX31" s="504">
        <v>269</v>
      </c>
      <c r="AY31" s="37">
        <v>0</v>
      </c>
      <c r="AZ31" s="37">
        <v>0</v>
      </c>
      <c r="BA31" s="464">
        <v>0</v>
      </c>
      <c r="BB31" s="23"/>
      <c r="BC31" s="486"/>
      <c r="BD31" s="486"/>
      <c r="BG31" s="486"/>
    </row>
    <row r="32" spans="1:59" s="485" customFormat="1" ht="12.75" customHeight="1" x14ac:dyDescent="0.2">
      <c r="A32" s="7"/>
      <c r="B32" s="487" t="s">
        <v>160</v>
      </c>
      <c r="C32" s="171">
        <f t="shared" si="2"/>
        <v>0</v>
      </c>
      <c r="D32" s="503">
        <v>0</v>
      </c>
      <c r="E32" s="502"/>
      <c r="F32" s="505"/>
      <c r="G32" s="505"/>
      <c r="H32" s="526"/>
      <c r="I32" s="527">
        <v>0</v>
      </c>
      <c r="J32" s="505">
        <v>6445</v>
      </c>
      <c r="K32" s="505">
        <v>3325</v>
      </c>
      <c r="L32" s="526">
        <v>0</v>
      </c>
      <c r="M32" s="527">
        <v>0</v>
      </c>
      <c r="N32" s="505">
        <v>18050</v>
      </c>
      <c r="O32" s="505">
        <v>410</v>
      </c>
      <c r="P32" s="526">
        <v>0</v>
      </c>
      <c r="Q32" s="527">
        <v>0</v>
      </c>
      <c r="R32" s="526">
        <v>0</v>
      </c>
      <c r="S32" s="526">
        <v>0</v>
      </c>
      <c r="T32" s="526">
        <v>0</v>
      </c>
      <c r="U32" s="527">
        <v>0</v>
      </c>
      <c r="V32" s="366">
        <v>0</v>
      </c>
      <c r="W32" s="505">
        <v>0</v>
      </c>
      <c r="X32" s="505">
        <v>0</v>
      </c>
      <c r="Y32" s="506">
        <v>0</v>
      </c>
      <c r="Z32" s="505"/>
      <c r="AA32" s="505"/>
      <c r="AB32" s="505"/>
      <c r="AC32" s="506"/>
      <c r="AD32" s="505"/>
      <c r="AE32" s="505"/>
      <c r="AF32" s="505"/>
      <c r="AG32" s="506"/>
      <c r="AH32" s="504"/>
      <c r="AI32" s="506"/>
      <c r="AJ32" s="506"/>
      <c r="AK32" s="506"/>
      <c r="AL32" s="134"/>
      <c r="AM32" s="171">
        <f>SUM(K32:M32)</f>
        <v>3325</v>
      </c>
      <c r="AN32" s="183">
        <f>SUM(O32:Q32)</f>
        <v>410</v>
      </c>
      <c r="AO32" s="183">
        <f t="shared" si="5"/>
        <v>-8690</v>
      </c>
      <c r="AP32" s="503">
        <f t="shared" si="6"/>
        <v>-0.47074756229685805</v>
      </c>
      <c r="AQ32" s="174"/>
      <c r="AR32" s="37">
        <f t="shared" si="10"/>
        <v>9770</v>
      </c>
      <c r="AS32" s="37">
        <f>SUM(N32:Q32)</f>
        <v>18460</v>
      </c>
      <c r="AT32" s="37">
        <f>SUM(R32:U32)</f>
        <v>0</v>
      </c>
      <c r="AU32" s="37">
        <f>SUM(V32:Y32)</f>
        <v>0</v>
      </c>
      <c r="AV32" s="511">
        <v>1274</v>
      </c>
      <c r="AW32" s="511">
        <v>0</v>
      </c>
      <c r="AX32" s="504">
        <v>0</v>
      </c>
      <c r="AY32" s="37">
        <v>0</v>
      </c>
      <c r="AZ32" s="37">
        <v>0</v>
      </c>
      <c r="BA32" s="464">
        <v>0</v>
      </c>
      <c r="BB32" s="23"/>
      <c r="BC32" s="486"/>
      <c r="BD32" s="486"/>
      <c r="BG32" s="486"/>
    </row>
    <row r="33" spans="1:59" s="485" customFormat="1" ht="12.75" customHeight="1" x14ac:dyDescent="0.2">
      <c r="A33" s="7"/>
      <c r="B33" s="487" t="s">
        <v>181</v>
      </c>
      <c r="C33" s="171">
        <f t="shared" si="2"/>
        <v>0</v>
      </c>
      <c r="D33" s="503">
        <v>0</v>
      </c>
      <c r="E33" s="502"/>
      <c r="F33" s="183"/>
      <c r="G33" s="183"/>
      <c r="H33" s="505"/>
      <c r="I33" s="220">
        <v>0</v>
      </c>
      <c r="J33" s="183">
        <v>0</v>
      </c>
      <c r="K33" s="183">
        <v>431</v>
      </c>
      <c r="L33" s="505">
        <v>900</v>
      </c>
      <c r="M33" s="220">
        <v>0</v>
      </c>
      <c r="N33" s="183">
        <v>9963</v>
      </c>
      <c r="O33" s="183">
        <v>0</v>
      </c>
      <c r="P33" s="183">
        <v>0</v>
      </c>
      <c r="Q33" s="220">
        <v>0</v>
      </c>
      <c r="R33" s="183">
        <v>0</v>
      </c>
      <c r="S33" s="183">
        <v>0</v>
      </c>
      <c r="T33" s="183">
        <v>0</v>
      </c>
      <c r="U33" s="220">
        <v>0</v>
      </c>
      <c r="V33" s="505">
        <v>0</v>
      </c>
      <c r="W33" s="505"/>
      <c r="X33" s="505"/>
      <c r="Y33" s="506"/>
      <c r="Z33" s="505"/>
      <c r="AA33" s="505"/>
      <c r="AB33" s="505"/>
      <c r="AC33" s="506"/>
      <c r="AD33" s="505"/>
      <c r="AE33" s="505"/>
      <c r="AF33" s="505"/>
      <c r="AG33" s="506"/>
      <c r="AH33" s="504"/>
      <c r="AI33" s="506"/>
      <c r="AJ33" s="506"/>
      <c r="AK33" s="506"/>
      <c r="AL33" s="134"/>
      <c r="AM33" s="171">
        <f>SUM(K33:M33)</f>
        <v>1331</v>
      </c>
      <c r="AN33" s="183">
        <f>SUM(O33:Q33)</f>
        <v>0</v>
      </c>
      <c r="AO33" s="183">
        <f t="shared" si="5"/>
        <v>-8632</v>
      </c>
      <c r="AP33" s="503">
        <f t="shared" si="6"/>
        <v>-0.86640570109404802</v>
      </c>
      <c r="AQ33" s="174"/>
      <c r="AR33" s="37">
        <f t="shared" si="10"/>
        <v>1331</v>
      </c>
      <c r="AS33" s="37">
        <f>SUM(N33:Q33)</f>
        <v>9963</v>
      </c>
      <c r="AT33" s="37">
        <f>SUM(R33:U33)</f>
        <v>0</v>
      </c>
      <c r="AU33" s="37">
        <v>0</v>
      </c>
      <c r="AV33" s="504">
        <v>0</v>
      </c>
      <c r="AW33" s="504">
        <v>0</v>
      </c>
      <c r="AX33" s="504"/>
      <c r="AY33" s="37"/>
      <c r="AZ33" s="37"/>
      <c r="BA33" s="464"/>
      <c r="BB33" s="23"/>
      <c r="BC33" s="486"/>
      <c r="BD33" s="486"/>
      <c r="BG33" s="486"/>
    </row>
    <row r="34" spans="1:59" s="485" customFormat="1" ht="12.75" hidden="1" customHeight="1" x14ac:dyDescent="0.2">
      <c r="A34" s="7"/>
      <c r="B34" s="487" t="s">
        <v>262</v>
      </c>
      <c r="C34" s="171"/>
      <c r="D34" s="503"/>
      <c r="E34" s="502"/>
      <c r="F34" s="505"/>
      <c r="G34" s="505"/>
      <c r="H34" s="505"/>
      <c r="I34" s="220"/>
      <c r="J34" s="505"/>
      <c r="K34" s="505"/>
      <c r="L34" s="505"/>
      <c r="M34" s="220"/>
      <c r="N34" s="183"/>
      <c r="O34" s="183"/>
      <c r="P34" s="183"/>
      <c r="Q34" s="220"/>
      <c r="R34" s="183"/>
      <c r="S34" s="183"/>
      <c r="T34" s="183"/>
      <c r="U34" s="220"/>
      <c r="V34" s="505"/>
      <c r="W34" s="505"/>
      <c r="X34" s="505"/>
      <c r="Y34" s="506"/>
      <c r="Z34" s="505"/>
      <c r="AA34" s="505"/>
      <c r="AB34" s="505"/>
      <c r="AC34" s="506"/>
      <c r="AD34" s="505"/>
      <c r="AE34" s="505"/>
      <c r="AF34" s="505"/>
      <c r="AG34" s="506"/>
      <c r="AH34" s="504"/>
      <c r="AI34" s="506"/>
      <c r="AJ34" s="506"/>
      <c r="AK34" s="506"/>
      <c r="AL34" s="134"/>
      <c r="AM34" s="171"/>
      <c r="AN34" s="183"/>
      <c r="AO34" s="183"/>
      <c r="AP34" s="503"/>
      <c r="AQ34" s="174"/>
      <c r="AR34" s="37"/>
      <c r="AS34" s="37"/>
      <c r="AT34" s="37"/>
      <c r="AU34" s="37"/>
      <c r="AV34" s="504"/>
      <c r="AW34" s="504"/>
      <c r="AX34" s="504"/>
      <c r="AY34" s="37"/>
      <c r="AZ34" s="37"/>
      <c r="BA34" s="464"/>
      <c r="BB34" s="23"/>
      <c r="BC34" s="486"/>
      <c r="BD34" s="486"/>
      <c r="BG34" s="486"/>
    </row>
    <row r="35" spans="1:59" ht="12.75" customHeight="1" x14ac:dyDescent="0.2">
      <c r="A35" s="7"/>
      <c r="B35" s="6"/>
      <c r="C35" s="176">
        <f>I35-M35</f>
        <v>-910</v>
      </c>
      <c r="D35" s="114">
        <f>IF(OR((C35/M35)&gt;3,(C35/M35)&lt;-3),"n.m.",(C35/M35))</f>
        <v>-1.5546519971298732E-2</v>
      </c>
      <c r="E35" s="353"/>
      <c r="F35" s="177"/>
      <c r="G35" s="177"/>
      <c r="H35" s="177"/>
      <c r="I35" s="178">
        <f t="shared" ref="I35:N35" si="13">SUM(I22:I34)</f>
        <v>57624</v>
      </c>
      <c r="J35" s="177">
        <f t="shared" si="13"/>
        <v>71904</v>
      </c>
      <c r="K35" s="177">
        <f t="shared" si="13"/>
        <v>70304</v>
      </c>
      <c r="L35" s="177">
        <f t="shared" si="13"/>
        <v>58778</v>
      </c>
      <c r="M35" s="178">
        <f t="shared" si="13"/>
        <v>58534</v>
      </c>
      <c r="N35" s="177">
        <f t="shared" si="13"/>
        <v>53257</v>
      </c>
      <c r="O35" s="177">
        <f>SUM(O20:O21,O23:O33)</f>
        <v>13751</v>
      </c>
      <c r="P35" s="177">
        <f>SUM(P22:P34)</f>
        <v>13294</v>
      </c>
      <c r="Q35" s="178">
        <f>SUM(Q22:Q34)</f>
        <v>14080</v>
      </c>
      <c r="R35" s="177">
        <f t="shared" ref="R35:AX35" si="14">SUM(R22:R33)</f>
        <v>25215</v>
      </c>
      <c r="S35" s="177">
        <f t="shared" si="14"/>
        <v>20384</v>
      </c>
      <c r="T35" s="177">
        <f t="shared" si="14"/>
        <v>16895</v>
      </c>
      <c r="U35" s="178">
        <f t="shared" si="14"/>
        <v>16054</v>
      </c>
      <c r="V35" s="177">
        <f t="shared" si="14"/>
        <v>19201</v>
      </c>
      <c r="W35" s="177">
        <f t="shared" si="14"/>
        <v>21966</v>
      </c>
      <c r="X35" s="177">
        <f t="shared" si="14"/>
        <v>14464</v>
      </c>
      <c r="Y35" s="178">
        <f t="shared" si="14"/>
        <v>17290</v>
      </c>
      <c r="Z35" s="177">
        <f t="shared" si="14"/>
        <v>0</v>
      </c>
      <c r="AA35" s="177">
        <f t="shared" si="14"/>
        <v>0</v>
      </c>
      <c r="AB35" s="177">
        <f t="shared" si="14"/>
        <v>0</v>
      </c>
      <c r="AC35" s="178">
        <f t="shared" si="14"/>
        <v>0</v>
      </c>
      <c r="AD35" s="177">
        <f t="shared" si="14"/>
        <v>0</v>
      </c>
      <c r="AE35" s="177">
        <f t="shared" si="14"/>
        <v>0</v>
      </c>
      <c r="AF35" s="177">
        <f t="shared" si="14"/>
        <v>0</v>
      </c>
      <c r="AG35" s="178">
        <f t="shared" si="14"/>
        <v>0</v>
      </c>
      <c r="AH35" s="137">
        <f t="shared" si="14"/>
        <v>0</v>
      </c>
      <c r="AI35" s="178">
        <f t="shared" si="14"/>
        <v>0</v>
      </c>
      <c r="AJ35" s="178">
        <f t="shared" si="14"/>
        <v>0</v>
      </c>
      <c r="AK35" s="178">
        <f t="shared" si="14"/>
        <v>0</v>
      </c>
      <c r="AL35" s="134"/>
      <c r="AM35" s="175">
        <f>SUM(AM22:AM33)</f>
        <v>187616</v>
      </c>
      <c r="AN35" s="239">
        <f>SUM(AN22:AN33)</f>
        <v>41125</v>
      </c>
      <c r="AO35" s="239">
        <f>AR35-AS35</f>
        <v>165138</v>
      </c>
      <c r="AP35" s="114">
        <f>IF(OR((AO35/AS35)&gt;3,(AO35/AS35)&lt;-3),"n.m.",(AO35/AS35))</f>
        <v>1.7496768451611535</v>
      </c>
      <c r="AQ35" s="174"/>
      <c r="AR35" s="244">
        <f>SUM(AR22:AR34)</f>
        <v>259520</v>
      </c>
      <c r="AS35" s="244">
        <f>SUM(AS22:AS34)</f>
        <v>94382</v>
      </c>
      <c r="AT35" s="244">
        <f>SUM(AT22:AT34)</f>
        <v>78548</v>
      </c>
      <c r="AU35" s="133">
        <f t="shared" si="14"/>
        <v>72921</v>
      </c>
      <c r="AV35" s="133">
        <f t="shared" si="14"/>
        <v>70895</v>
      </c>
      <c r="AW35" s="133">
        <f t="shared" si="14"/>
        <v>88719</v>
      </c>
      <c r="AX35" s="133">
        <f t="shared" si="14"/>
        <v>98148</v>
      </c>
      <c r="AY35" s="222">
        <v>83963</v>
      </c>
      <c r="AZ35" s="222">
        <v>85664</v>
      </c>
      <c r="BA35" s="113">
        <v>68575</v>
      </c>
      <c r="BB35" s="23"/>
      <c r="BC35" s="3"/>
      <c r="BD35" s="3"/>
      <c r="BG35" s="3"/>
    </row>
    <row r="36" spans="1:59" s="485" customFormat="1" ht="12.75" customHeight="1" thickBot="1" x14ac:dyDescent="0.25">
      <c r="A36" s="2491" t="s">
        <v>341</v>
      </c>
      <c r="B36" s="2492"/>
      <c r="C36" s="271" t="e">
        <f>I36-M36</f>
        <v>#REF!</v>
      </c>
      <c r="D36" s="123" t="e">
        <f>IF(OR((C36/M36)&gt;3,(C36/M36)&lt;-3),"n.m.",(C36/M36))</f>
        <v>#REF!</v>
      </c>
      <c r="E36" s="502"/>
      <c r="F36" s="152"/>
      <c r="G36" s="152"/>
      <c r="H36" s="152"/>
      <c r="I36" s="153" t="e">
        <f>+I16-I35</f>
        <v>#REF!</v>
      </c>
      <c r="J36" s="152" t="e">
        <f>+J16-J35</f>
        <v>#REF!</v>
      </c>
      <c r="K36" s="152" t="e">
        <f>+K16-K35</f>
        <v>#REF!</v>
      </c>
      <c r="L36" s="152" t="e">
        <f>+L16-L35</f>
        <v>#REF!</v>
      </c>
      <c r="M36" s="153" t="e">
        <f t="shared" ref="M36:AK36" si="15">M16-M35</f>
        <v>#REF!</v>
      </c>
      <c r="N36" s="152" t="e">
        <f t="shared" si="15"/>
        <v>#REF!</v>
      </c>
      <c r="O36" s="152">
        <f t="shared" si="15"/>
        <v>-1003</v>
      </c>
      <c r="P36" s="152">
        <f t="shared" si="15"/>
        <v>-3956</v>
      </c>
      <c r="Q36" s="153">
        <f t="shared" si="15"/>
        <v>-4834</v>
      </c>
      <c r="R36" s="152">
        <f t="shared" si="15"/>
        <v>9340</v>
      </c>
      <c r="S36" s="152">
        <f t="shared" si="15"/>
        <v>2955</v>
      </c>
      <c r="T36" s="152">
        <f t="shared" si="15"/>
        <v>1443</v>
      </c>
      <c r="U36" s="153">
        <f t="shared" si="15"/>
        <v>391</v>
      </c>
      <c r="V36" s="152">
        <f t="shared" si="15"/>
        <v>2132</v>
      </c>
      <c r="W36" s="152">
        <f t="shared" si="15"/>
        <v>4455</v>
      </c>
      <c r="X36" s="152">
        <f t="shared" si="15"/>
        <v>-689</v>
      </c>
      <c r="Y36" s="153">
        <f t="shared" si="15"/>
        <v>3635</v>
      </c>
      <c r="Z36" s="152">
        <f t="shared" si="15"/>
        <v>0</v>
      </c>
      <c r="AA36" s="152">
        <f t="shared" si="15"/>
        <v>0</v>
      </c>
      <c r="AB36" s="152">
        <f t="shared" si="15"/>
        <v>0</v>
      </c>
      <c r="AC36" s="153">
        <f t="shared" si="15"/>
        <v>0</v>
      </c>
      <c r="AD36" s="153">
        <f t="shared" si="15"/>
        <v>0</v>
      </c>
      <c r="AE36" s="252">
        <f t="shared" si="15"/>
        <v>0</v>
      </c>
      <c r="AF36" s="252">
        <f t="shared" si="15"/>
        <v>0</v>
      </c>
      <c r="AG36" s="150">
        <f t="shared" si="15"/>
        <v>0</v>
      </c>
      <c r="AH36" s="150">
        <f t="shared" si="15"/>
        <v>0</v>
      </c>
      <c r="AI36" s="150">
        <f t="shared" si="15"/>
        <v>0</v>
      </c>
      <c r="AJ36" s="150">
        <f t="shared" si="15"/>
        <v>0</v>
      </c>
      <c r="AK36" s="150">
        <f t="shared" si="15"/>
        <v>0</v>
      </c>
      <c r="AL36" s="47"/>
      <c r="AM36" s="152" t="e">
        <f>AM16-AM35</f>
        <v>#REF!</v>
      </c>
      <c r="AN36" s="152">
        <f>AN16-AN35</f>
        <v>-9793</v>
      </c>
      <c r="AO36" s="323" t="e">
        <f>AR36-AS36</f>
        <v>#REF!</v>
      </c>
      <c r="AP36" s="123" t="e">
        <f>-IF(OR((AO36/AS36)&gt;3,(AO36/AS36)&lt;-3),"n.m.",(AO36/AS36))</f>
        <v>#REF!</v>
      </c>
      <c r="AQ36" s="47"/>
      <c r="AR36" s="153" t="e">
        <f>AR16-AR35</f>
        <v>#REF!</v>
      </c>
      <c r="AS36" s="153" t="e">
        <f t="shared" ref="AS36:AZ36" si="16">AS16-AS35</f>
        <v>#REF!</v>
      </c>
      <c r="AT36" s="153">
        <f t="shared" si="16"/>
        <v>14129</v>
      </c>
      <c r="AU36" s="139">
        <f t="shared" si="16"/>
        <v>9533</v>
      </c>
      <c r="AV36" s="139">
        <f t="shared" si="16"/>
        <v>2031</v>
      </c>
      <c r="AW36" s="139">
        <f t="shared" si="16"/>
        <v>29613</v>
      </c>
      <c r="AX36" s="182">
        <f t="shared" si="16"/>
        <v>31704</v>
      </c>
      <c r="AY36" s="223">
        <f t="shared" si="16"/>
        <v>41937</v>
      </c>
      <c r="AZ36" s="223">
        <f t="shared" si="16"/>
        <v>30426</v>
      </c>
      <c r="BA36" s="227"/>
      <c r="BB36" s="488"/>
      <c r="BC36" s="488"/>
      <c r="BG36" s="486"/>
    </row>
    <row r="37" spans="1:59" s="485" customFormat="1" ht="12.75" customHeight="1" thickTop="1" x14ac:dyDescent="0.2">
      <c r="A37" s="7"/>
      <c r="B37" s="278"/>
      <c r="C37" s="512"/>
      <c r="D37" s="503"/>
      <c r="E37" s="503"/>
      <c r="F37" s="142"/>
      <c r="G37" s="142"/>
      <c r="H37" s="142"/>
      <c r="I37" s="146"/>
      <c r="J37" s="142"/>
      <c r="K37" s="142"/>
      <c r="L37" s="142"/>
      <c r="M37" s="146"/>
      <c r="N37" s="142"/>
      <c r="O37" s="142"/>
      <c r="P37" s="142"/>
      <c r="Q37" s="146"/>
      <c r="R37" s="142"/>
      <c r="S37" s="142"/>
      <c r="T37" s="142"/>
      <c r="U37" s="146"/>
      <c r="V37" s="142"/>
      <c r="W37" s="142"/>
      <c r="X37" s="142"/>
      <c r="Y37" s="146"/>
      <c r="Z37" s="142"/>
      <c r="AA37" s="142"/>
      <c r="AB37" s="142"/>
      <c r="AC37" s="146"/>
      <c r="AD37" s="146"/>
      <c r="AE37" s="252"/>
      <c r="AF37" s="252"/>
      <c r="AG37" s="150"/>
      <c r="AH37" s="150"/>
      <c r="AI37" s="150"/>
      <c r="AJ37" s="150"/>
      <c r="AK37" s="150"/>
      <c r="AL37" s="110"/>
      <c r="AM37" s="488"/>
      <c r="AN37" s="488"/>
      <c r="AO37" s="512"/>
      <c r="AP37" s="503"/>
      <c r="AQ37" s="110"/>
      <c r="AR37" s="557"/>
      <c r="AS37" s="557"/>
      <c r="AT37" s="557"/>
      <c r="AU37" s="557"/>
      <c r="AV37" s="557"/>
      <c r="AW37" s="506"/>
      <c r="AX37" s="506"/>
      <c r="AY37" s="26"/>
      <c r="AZ37" s="26"/>
      <c r="BA37" s="102"/>
      <c r="BB37" s="488"/>
      <c r="BC37" s="488"/>
      <c r="BG37" s="486"/>
    </row>
    <row r="38" spans="1:59" s="485" customFormat="1" ht="12.75" hidden="1" customHeight="1" outlineLevel="1" x14ac:dyDescent="0.2">
      <c r="A38" s="7"/>
      <c r="B38" s="278" t="s">
        <v>344</v>
      </c>
      <c r="C38" s="171">
        <f>I38-M38</f>
        <v>825</v>
      </c>
      <c r="D38" s="503" t="s">
        <v>42</v>
      </c>
      <c r="E38" s="503"/>
      <c r="F38" s="142"/>
      <c r="G38" s="142"/>
      <c r="H38" s="142"/>
      <c r="I38" s="146">
        <f>275*3</f>
        <v>825</v>
      </c>
      <c r="J38" s="530">
        <v>0</v>
      </c>
      <c r="K38" s="530">
        <v>0</v>
      </c>
      <c r="L38" s="530">
        <v>0</v>
      </c>
      <c r="M38" s="547">
        <v>0</v>
      </c>
      <c r="N38" s="530">
        <v>0</v>
      </c>
      <c r="O38" s="530">
        <v>0</v>
      </c>
      <c r="P38" s="530">
        <v>0</v>
      </c>
      <c r="Q38" s="547">
        <v>0</v>
      </c>
      <c r="R38" s="142"/>
      <c r="S38" s="142"/>
      <c r="T38" s="142"/>
      <c r="U38" s="146"/>
      <c r="V38" s="142"/>
      <c r="W38" s="142"/>
      <c r="X38" s="142"/>
      <c r="Y38" s="146"/>
      <c r="Z38" s="142"/>
      <c r="AA38" s="142"/>
      <c r="AB38" s="142"/>
      <c r="AC38" s="146"/>
      <c r="AD38" s="146"/>
      <c r="AE38" s="252"/>
      <c r="AF38" s="252"/>
      <c r="AG38" s="150"/>
      <c r="AH38" s="150"/>
      <c r="AI38" s="150"/>
      <c r="AJ38" s="150"/>
      <c r="AK38" s="150"/>
      <c r="AL38" s="110"/>
      <c r="AM38" s="488"/>
      <c r="AN38" s="488"/>
      <c r="AO38" s="512"/>
      <c r="AP38" s="503"/>
      <c r="AQ38" s="110"/>
      <c r="AR38" s="554">
        <v>0</v>
      </c>
      <c r="AS38" s="554">
        <v>0</v>
      </c>
      <c r="AT38" s="554">
        <v>0</v>
      </c>
      <c r="AU38" s="554">
        <v>0</v>
      </c>
      <c r="AV38" s="554">
        <v>0</v>
      </c>
      <c r="AW38" s="506"/>
      <c r="AX38" s="506"/>
      <c r="AY38" s="26">
        <v>11945</v>
      </c>
      <c r="AZ38" s="26">
        <v>10058</v>
      </c>
      <c r="BA38" s="102"/>
      <c r="BB38" s="488"/>
      <c r="BC38" s="488"/>
      <c r="BG38" s="486"/>
    </row>
    <row r="39" spans="1:59" s="485" customFormat="1" ht="12.75" hidden="1" customHeight="1" outlineLevel="1" x14ac:dyDescent="0.2">
      <c r="A39" s="7"/>
      <c r="B39" s="6" t="s">
        <v>345</v>
      </c>
      <c r="C39" s="179">
        <f>I39-M39</f>
        <v>98</v>
      </c>
      <c r="D39" s="95" t="s">
        <v>42</v>
      </c>
      <c r="E39" s="503"/>
      <c r="F39" s="142"/>
      <c r="G39" s="142"/>
      <c r="H39" s="142"/>
      <c r="I39" s="149">
        <v>98</v>
      </c>
      <c r="J39" s="569">
        <v>0</v>
      </c>
      <c r="K39" s="569">
        <v>0</v>
      </c>
      <c r="L39" s="569">
        <v>0</v>
      </c>
      <c r="M39" s="570">
        <v>0</v>
      </c>
      <c r="N39" s="569">
        <v>0</v>
      </c>
      <c r="O39" s="569">
        <v>0</v>
      </c>
      <c r="P39" s="569">
        <v>0</v>
      </c>
      <c r="Q39" s="570">
        <v>0</v>
      </c>
      <c r="R39" s="142"/>
      <c r="S39" s="142"/>
      <c r="T39" s="142"/>
      <c r="U39" s="146"/>
      <c r="V39" s="142"/>
      <c r="W39" s="142"/>
      <c r="X39" s="142"/>
      <c r="Y39" s="146"/>
      <c r="Z39" s="142"/>
      <c r="AA39" s="142"/>
      <c r="AB39" s="142"/>
      <c r="AC39" s="146"/>
      <c r="AD39" s="146"/>
      <c r="AE39" s="252"/>
      <c r="AF39" s="252"/>
      <c r="AG39" s="150"/>
      <c r="AH39" s="150"/>
      <c r="AI39" s="150"/>
      <c r="AJ39" s="150"/>
      <c r="AK39" s="150"/>
      <c r="AL39" s="110"/>
      <c r="AM39" s="488"/>
      <c r="AN39" s="488"/>
      <c r="AO39" s="512"/>
      <c r="AP39" s="503"/>
      <c r="AQ39" s="110"/>
      <c r="AR39" s="571">
        <v>0</v>
      </c>
      <c r="AS39" s="571">
        <v>0</v>
      </c>
      <c r="AT39" s="571">
        <v>0</v>
      </c>
      <c r="AU39" s="571">
        <v>0</v>
      </c>
      <c r="AV39" s="571">
        <v>0</v>
      </c>
      <c r="AW39" s="506"/>
      <c r="AX39" s="506"/>
      <c r="AY39" s="512"/>
      <c r="AZ39" s="26"/>
      <c r="BA39" s="102"/>
      <c r="BB39" s="488"/>
      <c r="BC39" s="488"/>
      <c r="BG39" s="486"/>
    </row>
    <row r="40" spans="1:59" s="485" customFormat="1" ht="12.75" customHeight="1" collapsed="1" x14ac:dyDescent="0.2">
      <c r="A40" s="7"/>
      <c r="B40" s="6" t="s">
        <v>347</v>
      </c>
      <c r="C40" s="171">
        <f>I40-M40</f>
        <v>923</v>
      </c>
      <c r="D40" s="503" t="s">
        <v>42</v>
      </c>
      <c r="E40" s="503"/>
      <c r="F40" s="142"/>
      <c r="G40" s="142"/>
      <c r="H40" s="142"/>
      <c r="I40" s="146">
        <f>+I38+I39</f>
        <v>923</v>
      </c>
      <c r="J40" s="530">
        <v>0</v>
      </c>
      <c r="K40" s="530">
        <v>0</v>
      </c>
      <c r="L40" s="530">
        <v>0</v>
      </c>
      <c r="M40" s="547">
        <v>0</v>
      </c>
      <c r="N40" s="530">
        <v>0</v>
      </c>
      <c r="O40" s="530">
        <v>0</v>
      </c>
      <c r="P40" s="530">
        <v>0</v>
      </c>
      <c r="Q40" s="547">
        <v>0</v>
      </c>
      <c r="R40" s="142"/>
      <c r="S40" s="142"/>
      <c r="T40" s="142"/>
      <c r="U40" s="146"/>
      <c r="V40" s="142"/>
      <c r="W40" s="142"/>
      <c r="X40" s="142"/>
      <c r="Y40" s="146"/>
      <c r="Z40" s="142"/>
      <c r="AA40" s="142"/>
      <c r="AB40" s="142"/>
      <c r="AC40" s="146"/>
      <c r="AD40" s="146"/>
      <c r="AE40" s="252"/>
      <c r="AF40" s="252"/>
      <c r="AG40" s="150"/>
      <c r="AH40" s="150"/>
      <c r="AI40" s="150"/>
      <c r="AJ40" s="150"/>
      <c r="AK40" s="150"/>
      <c r="AL40" s="110"/>
      <c r="AM40" s="488"/>
      <c r="AN40" s="488"/>
      <c r="AO40" s="512"/>
      <c r="AP40" s="503"/>
      <c r="AQ40" s="110"/>
      <c r="AR40" s="554">
        <v>0</v>
      </c>
      <c r="AS40" s="554">
        <v>0</v>
      </c>
      <c r="AT40" s="554">
        <v>0</v>
      </c>
      <c r="AU40" s="554">
        <v>0</v>
      </c>
      <c r="AV40" s="554">
        <v>0</v>
      </c>
      <c r="AW40" s="506"/>
      <c r="AX40" s="506"/>
      <c r="AY40" s="512"/>
      <c r="AZ40" s="26"/>
      <c r="BA40" s="102"/>
      <c r="BB40" s="488"/>
      <c r="BC40" s="488"/>
      <c r="BG40" s="486"/>
    </row>
    <row r="41" spans="1:59" s="485" customFormat="1" ht="12.75" customHeight="1" x14ac:dyDescent="0.2">
      <c r="A41" s="7"/>
      <c r="B41" s="6"/>
      <c r="C41" s="464"/>
      <c r="D41" s="503"/>
      <c r="E41" s="502"/>
      <c r="F41" s="142"/>
      <c r="G41" s="142"/>
      <c r="H41" s="142"/>
      <c r="I41" s="146"/>
      <c r="J41" s="142"/>
      <c r="K41" s="142"/>
      <c r="L41" s="142"/>
      <c r="M41" s="146"/>
      <c r="N41" s="142"/>
      <c r="O41" s="142"/>
      <c r="P41" s="142"/>
      <c r="Q41" s="146"/>
      <c r="R41" s="142"/>
      <c r="S41" s="142"/>
      <c r="T41" s="142"/>
      <c r="U41" s="146"/>
      <c r="V41" s="142"/>
      <c r="W41" s="142"/>
      <c r="X41" s="142"/>
      <c r="Y41" s="146"/>
      <c r="Z41" s="142"/>
      <c r="AA41" s="142"/>
      <c r="AB41" s="142"/>
      <c r="AC41" s="146"/>
      <c r="AD41" s="146"/>
      <c r="AE41" s="252"/>
      <c r="AF41" s="252"/>
      <c r="AG41" s="150"/>
      <c r="AH41" s="150"/>
      <c r="AI41" s="150"/>
      <c r="AJ41" s="150"/>
      <c r="AK41" s="150"/>
      <c r="AL41" s="488"/>
      <c r="AM41" s="488"/>
      <c r="AN41" s="488"/>
      <c r="AO41" s="512"/>
      <c r="AP41" s="513"/>
      <c r="AQ41" s="47"/>
      <c r="AR41" s="137"/>
      <c r="AS41" s="137"/>
      <c r="AT41" s="137"/>
      <c r="AU41" s="137"/>
      <c r="AV41" s="137"/>
      <c r="AW41" s="506"/>
      <c r="AX41" s="506"/>
      <c r="AY41" s="512"/>
      <c r="AZ41" s="37"/>
      <c r="BA41" s="227"/>
      <c r="BB41" s="488"/>
      <c r="BC41" s="488"/>
      <c r="BG41" s="486"/>
    </row>
    <row r="42" spans="1:59" s="53" customFormat="1" ht="12.75" customHeight="1" thickBot="1" x14ac:dyDescent="0.25">
      <c r="A42" s="2491" t="s">
        <v>74</v>
      </c>
      <c r="B42" s="2492"/>
      <c r="C42" s="271" t="e">
        <f>I42-M42</f>
        <v>#REF!</v>
      </c>
      <c r="D42" s="123" t="e">
        <f>-IF(OR((C42/M42)&gt;3,(C42/M42)&lt;-3),"n.m.",(C42/M42))</f>
        <v>#REF!</v>
      </c>
      <c r="E42" s="502"/>
      <c r="F42" s="152"/>
      <c r="G42" s="152"/>
      <c r="H42" s="152"/>
      <c r="I42" s="153" t="e">
        <f>+I36-I38-I39</f>
        <v>#REF!</v>
      </c>
      <c r="J42" s="152" t="e">
        <f t="shared" ref="J42:Q42" si="17">+J36-J38-J39</f>
        <v>#REF!</v>
      </c>
      <c r="K42" s="152" t="e">
        <f t="shared" si="17"/>
        <v>#REF!</v>
      </c>
      <c r="L42" s="152" t="e">
        <f t="shared" si="17"/>
        <v>#REF!</v>
      </c>
      <c r="M42" s="153" t="e">
        <f t="shared" si="17"/>
        <v>#REF!</v>
      </c>
      <c r="N42" s="152" t="e">
        <f t="shared" si="17"/>
        <v>#REF!</v>
      </c>
      <c r="O42" s="152">
        <f t="shared" si="17"/>
        <v>-1003</v>
      </c>
      <c r="P42" s="152">
        <f t="shared" si="17"/>
        <v>-3956</v>
      </c>
      <c r="Q42" s="153">
        <f t="shared" si="17"/>
        <v>-4834</v>
      </c>
      <c r="R42" s="152"/>
      <c r="S42" s="152"/>
      <c r="T42" s="152"/>
      <c r="U42" s="153"/>
      <c r="V42" s="152"/>
      <c r="W42" s="152"/>
      <c r="X42" s="152"/>
      <c r="Y42" s="153"/>
      <c r="Z42" s="152"/>
      <c r="AA42" s="152"/>
      <c r="AB42" s="152"/>
      <c r="AC42" s="153"/>
      <c r="AD42" s="152"/>
      <c r="AE42" s="153"/>
      <c r="AF42" s="153"/>
      <c r="AG42" s="150"/>
      <c r="AH42" s="150"/>
      <c r="AI42" s="150"/>
      <c r="AJ42" s="150"/>
      <c r="AK42" s="150"/>
      <c r="AL42" s="488"/>
      <c r="AM42" s="488"/>
      <c r="AN42" s="488"/>
      <c r="AO42" s="323"/>
      <c r="AP42" s="123"/>
      <c r="AQ42" s="47"/>
      <c r="AR42" s="139" t="e">
        <f>+AR36-AR38-AR39</f>
        <v>#REF!</v>
      </c>
      <c r="AS42" s="139" t="e">
        <f>+AS36-AS38-AS39</f>
        <v>#REF!</v>
      </c>
      <c r="AT42" s="139">
        <f>+AT36-AT38-AT39</f>
        <v>14129</v>
      </c>
      <c r="AU42" s="139">
        <f>+AU36-AU38-AU39</f>
        <v>9533</v>
      </c>
      <c r="AV42" s="139">
        <f>+AV36-AV38-AV39</f>
        <v>2031</v>
      </c>
      <c r="AW42" s="182"/>
      <c r="AX42" s="182"/>
      <c r="AY42" s="323">
        <f>AY36-AY38</f>
        <v>29992</v>
      </c>
      <c r="AZ42" s="223">
        <f>AZ36-AZ38</f>
        <v>20368</v>
      </c>
      <c r="BA42" s="234">
        <v>15914</v>
      </c>
      <c r="BB42" s="488"/>
      <c r="BC42" s="254"/>
      <c r="BG42" s="140"/>
    </row>
    <row r="43" spans="1:59" s="53" customFormat="1" ht="12.75" customHeight="1" thickTop="1" x14ac:dyDescent="0.2">
      <c r="A43" s="89"/>
      <c r="B43" s="413"/>
      <c r="C43" s="163"/>
      <c r="D43" s="35"/>
      <c r="E43" s="35"/>
      <c r="F43" s="513"/>
      <c r="G43" s="513"/>
      <c r="H43" s="513"/>
      <c r="I43" s="505"/>
      <c r="J43" s="513"/>
      <c r="K43" s="513"/>
      <c r="L43" s="513"/>
      <c r="M43" s="505"/>
      <c r="N43" s="35"/>
      <c r="O43" s="35"/>
      <c r="P43" s="35"/>
      <c r="Q43" s="163"/>
      <c r="R43" s="35"/>
      <c r="S43" s="35"/>
      <c r="T43" s="35"/>
      <c r="U43" s="163"/>
      <c r="V43" s="35"/>
      <c r="W43" s="35"/>
      <c r="X43" s="35"/>
      <c r="Y43" s="163"/>
      <c r="Z43" s="35"/>
      <c r="AA43" s="35"/>
      <c r="AB43" s="35"/>
      <c r="AC43" s="163"/>
      <c r="AD43" s="163"/>
      <c r="AE43" s="163"/>
      <c r="AF43" s="163"/>
      <c r="AG43" s="163"/>
      <c r="AH43" s="163"/>
      <c r="AI43" s="163"/>
      <c r="AJ43" s="163"/>
      <c r="AK43" s="163"/>
      <c r="AL43" s="174"/>
      <c r="AM43" s="174"/>
      <c r="AN43" s="174"/>
      <c r="AO43" s="183"/>
      <c r="AP43" s="35"/>
      <c r="AQ43" s="174"/>
      <c r="AR43" s="496"/>
      <c r="AS43" s="190"/>
      <c r="AT43" s="190"/>
      <c r="AU43" s="163"/>
      <c r="AV43" s="163"/>
      <c r="AW43" s="44"/>
      <c r="AX43" s="163"/>
      <c r="AY43" s="28"/>
      <c r="AZ43" s="28"/>
      <c r="BA43" s="28"/>
      <c r="BB43" s="3"/>
      <c r="BC43" s="140"/>
      <c r="BD43" s="140"/>
      <c r="BG43" s="140"/>
    </row>
    <row r="44" spans="1:59" s="53" customFormat="1" ht="12.75" customHeight="1" x14ac:dyDescent="0.2">
      <c r="A44" s="6" t="s">
        <v>306</v>
      </c>
      <c r="B44" s="413"/>
      <c r="C44" s="157" t="e">
        <f t="shared" ref="C44:C50" si="18">(I44-M44)*100</f>
        <v>#REF!</v>
      </c>
      <c r="D44" s="513"/>
      <c r="E44" s="513"/>
      <c r="F44" s="513"/>
      <c r="G44" s="513"/>
      <c r="H44" s="513"/>
      <c r="I44" s="513" t="e">
        <f>+I18/I$16</f>
        <v>#REF!</v>
      </c>
      <c r="J44" s="513" t="e">
        <f t="shared" ref="J44:L45" si="19">+J18/J$16</f>
        <v>#REF!</v>
      </c>
      <c r="K44" s="513" t="e">
        <f t="shared" si="19"/>
        <v>#REF!</v>
      </c>
      <c r="L44" s="513" t="e">
        <f t="shared" si="19"/>
        <v>#REF!</v>
      </c>
      <c r="M44" s="513" t="e">
        <f t="shared" ref="M44:AK44" si="20">+M18/M$16</f>
        <v>#REF!</v>
      </c>
      <c r="N44" s="513" t="e">
        <f t="shared" si="20"/>
        <v>#REF!</v>
      </c>
      <c r="O44" s="513">
        <f t="shared" si="20"/>
        <v>0.38751176655161595</v>
      </c>
      <c r="P44" s="513">
        <f t="shared" si="20"/>
        <v>0.5500107089312487</v>
      </c>
      <c r="Q44" s="513">
        <f t="shared" si="20"/>
        <v>0.50324464633354959</v>
      </c>
      <c r="R44" s="513">
        <f t="shared" si="20"/>
        <v>0.50201128635508607</v>
      </c>
      <c r="S44" s="513">
        <f t="shared" si="20"/>
        <v>0.46831483782509964</v>
      </c>
      <c r="T44" s="513">
        <f t="shared" si="20"/>
        <v>0.47862362307776202</v>
      </c>
      <c r="U44" s="513">
        <f t="shared" si="20"/>
        <v>0</v>
      </c>
      <c r="V44" s="513">
        <f t="shared" si="20"/>
        <v>0</v>
      </c>
      <c r="W44" s="513">
        <f t="shared" si="20"/>
        <v>0</v>
      </c>
      <c r="X44" s="513">
        <f t="shared" si="20"/>
        <v>0</v>
      </c>
      <c r="Y44" s="513">
        <f t="shared" si="20"/>
        <v>0</v>
      </c>
      <c r="Z44" s="513" t="e">
        <f t="shared" si="20"/>
        <v>#DIV/0!</v>
      </c>
      <c r="AA44" s="513" t="e">
        <f t="shared" si="20"/>
        <v>#DIV/0!</v>
      </c>
      <c r="AB44" s="513" t="e">
        <f t="shared" si="20"/>
        <v>#DIV/0!</v>
      </c>
      <c r="AC44" s="513" t="e">
        <f t="shared" si="20"/>
        <v>#DIV/0!</v>
      </c>
      <c r="AD44" s="513" t="e">
        <f t="shared" si="20"/>
        <v>#DIV/0!</v>
      </c>
      <c r="AE44" s="513" t="e">
        <f t="shared" si="20"/>
        <v>#DIV/0!</v>
      </c>
      <c r="AF44" s="513" t="e">
        <f t="shared" si="20"/>
        <v>#DIV/0!</v>
      </c>
      <c r="AG44" s="513" t="e">
        <f t="shared" si="20"/>
        <v>#DIV/0!</v>
      </c>
      <c r="AH44" s="513" t="e">
        <f t="shared" si="20"/>
        <v>#DIV/0!</v>
      </c>
      <c r="AI44" s="513" t="e">
        <f t="shared" si="20"/>
        <v>#DIV/0!</v>
      </c>
      <c r="AJ44" s="513" t="e">
        <f t="shared" si="20"/>
        <v>#DIV/0!</v>
      </c>
      <c r="AK44" s="513" t="e">
        <f t="shared" si="20"/>
        <v>#DIV/0!</v>
      </c>
      <c r="AL44" s="174"/>
      <c r="AM44" s="513" t="e">
        <f>+AM18/AM$16</f>
        <v>#REF!</v>
      </c>
      <c r="AN44" s="513">
        <f>+AN18/AN$16</f>
        <v>0.47009447210519595</v>
      </c>
      <c r="AO44" s="157" t="e">
        <f t="shared" ref="AO44:AO50" si="21">(AR44-AS44)*100</f>
        <v>#REF!</v>
      </c>
      <c r="AP44" s="513"/>
      <c r="AQ44" s="174"/>
      <c r="AR44" s="513" t="e">
        <f t="shared" ref="AR44:AW45" si="22">+AR18/AR$16</f>
        <v>#REF!</v>
      </c>
      <c r="AS44" s="513" t="e">
        <f t="shared" si="22"/>
        <v>#REF!</v>
      </c>
      <c r="AT44" s="513">
        <f t="shared" si="22"/>
        <v>0.47434638583467309</v>
      </c>
      <c r="AU44" s="513">
        <f t="shared" si="22"/>
        <v>0.49825357168845658</v>
      </c>
      <c r="AV44" s="513">
        <f t="shared" si="22"/>
        <v>0.44623316786879852</v>
      </c>
      <c r="AW44" s="513">
        <f t="shared" si="22"/>
        <v>0.47108136429706249</v>
      </c>
      <c r="AX44" s="505"/>
      <c r="AY44" s="512"/>
      <c r="AZ44" s="512"/>
      <c r="BA44" s="512"/>
      <c r="BB44" s="486"/>
      <c r="BC44" s="140"/>
      <c r="BD44" s="140"/>
      <c r="BG44" s="140"/>
    </row>
    <row r="45" spans="1:59" s="53" customFormat="1" ht="12.75" customHeight="1" x14ac:dyDescent="0.2">
      <c r="A45" s="6" t="s">
        <v>307</v>
      </c>
      <c r="B45" s="413"/>
      <c r="C45" s="157" t="e">
        <f t="shared" si="18"/>
        <v>#REF!</v>
      </c>
      <c r="D45" s="513"/>
      <c r="E45" s="513"/>
      <c r="F45" s="513"/>
      <c r="G45" s="513"/>
      <c r="H45" s="513"/>
      <c r="I45" s="513" t="e">
        <f>+I19/I$16</f>
        <v>#REF!</v>
      </c>
      <c r="J45" s="513" t="e">
        <f t="shared" si="19"/>
        <v>#REF!</v>
      </c>
      <c r="K45" s="513" t="e">
        <f t="shared" si="19"/>
        <v>#REF!</v>
      </c>
      <c r="L45" s="513" t="e">
        <f t="shared" si="19"/>
        <v>#REF!</v>
      </c>
      <c r="M45" s="513" t="e">
        <f t="shared" ref="M45:AK45" si="23">+M19/M$16</f>
        <v>#REF!</v>
      </c>
      <c r="N45" s="513" t="e">
        <f t="shared" si="23"/>
        <v>#REF!</v>
      </c>
      <c r="O45" s="513">
        <f t="shared" si="23"/>
        <v>7.7659240665202384E-2</v>
      </c>
      <c r="P45" s="513">
        <f t="shared" si="23"/>
        <v>8.3850931677018639E-2</v>
      </c>
      <c r="Q45" s="513">
        <f t="shared" si="23"/>
        <v>0.11118321436296777</v>
      </c>
      <c r="R45" s="513">
        <f t="shared" si="23"/>
        <v>-1.4701200983938649E-2</v>
      </c>
      <c r="S45" s="513">
        <f t="shared" si="23"/>
        <v>6.9240327349072373E-2</v>
      </c>
      <c r="T45" s="513">
        <f t="shared" si="23"/>
        <v>2.4266550332642599E-2</v>
      </c>
      <c r="U45" s="513">
        <f t="shared" si="23"/>
        <v>0</v>
      </c>
      <c r="V45" s="513">
        <f t="shared" si="23"/>
        <v>0</v>
      </c>
      <c r="W45" s="513">
        <f t="shared" si="23"/>
        <v>0</v>
      </c>
      <c r="X45" s="513">
        <f t="shared" si="23"/>
        <v>0</v>
      </c>
      <c r="Y45" s="513">
        <f t="shared" si="23"/>
        <v>0</v>
      </c>
      <c r="Z45" s="513" t="e">
        <f t="shared" si="23"/>
        <v>#DIV/0!</v>
      </c>
      <c r="AA45" s="513" t="e">
        <f t="shared" si="23"/>
        <v>#DIV/0!</v>
      </c>
      <c r="AB45" s="513" t="e">
        <f t="shared" si="23"/>
        <v>#DIV/0!</v>
      </c>
      <c r="AC45" s="513" t="e">
        <f t="shared" si="23"/>
        <v>#DIV/0!</v>
      </c>
      <c r="AD45" s="513" t="e">
        <f t="shared" si="23"/>
        <v>#DIV/0!</v>
      </c>
      <c r="AE45" s="513" t="e">
        <f t="shared" si="23"/>
        <v>#DIV/0!</v>
      </c>
      <c r="AF45" s="513" t="e">
        <f t="shared" si="23"/>
        <v>#DIV/0!</v>
      </c>
      <c r="AG45" s="513" t="e">
        <f t="shared" si="23"/>
        <v>#DIV/0!</v>
      </c>
      <c r="AH45" s="513" t="e">
        <f t="shared" si="23"/>
        <v>#DIV/0!</v>
      </c>
      <c r="AI45" s="513" t="e">
        <f t="shared" si="23"/>
        <v>#DIV/0!</v>
      </c>
      <c r="AJ45" s="513" t="e">
        <f t="shared" si="23"/>
        <v>#DIV/0!</v>
      </c>
      <c r="AK45" s="513" t="e">
        <f t="shared" si="23"/>
        <v>#DIV/0!</v>
      </c>
      <c r="AL45" s="174"/>
      <c r="AM45" s="513" t="e">
        <f>+AM19/AM$16</f>
        <v>#REF!</v>
      </c>
      <c r="AN45" s="513">
        <f>+AN19/AN$16</f>
        <v>8.9397421166858171E-2</v>
      </c>
      <c r="AO45" s="157" t="e">
        <f t="shared" si="21"/>
        <v>#REF!</v>
      </c>
      <c r="AP45" s="513"/>
      <c r="AQ45" s="174"/>
      <c r="AR45" s="513" t="e">
        <f t="shared" si="22"/>
        <v>#REF!</v>
      </c>
      <c r="AS45" s="513" t="e">
        <f t="shared" si="22"/>
        <v>#REF!</v>
      </c>
      <c r="AT45" s="513">
        <f t="shared" si="22"/>
        <v>2.4785005988540845E-2</v>
      </c>
      <c r="AU45" s="513">
        <f t="shared" si="22"/>
        <v>4.0301258883741239E-2</v>
      </c>
      <c r="AV45" s="513">
        <f t="shared" si="22"/>
        <v>2.5765844829004743E-2</v>
      </c>
      <c r="AW45" s="513">
        <f t="shared" si="22"/>
        <v>3.3490518203022006E-2</v>
      </c>
      <c r="AX45" s="505"/>
      <c r="AY45" s="512"/>
      <c r="AZ45" s="512"/>
      <c r="BA45" s="512"/>
      <c r="BB45" s="486"/>
      <c r="BC45" s="140"/>
      <c r="BD45" s="140"/>
      <c r="BG45" s="140"/>
    </row>
    <row r="46" spans="1:59" s="53" customFormat="1" ht="12.75" customHeight="1" x14ac:dyDescent="0.2">
      <c r="A46" s="91" t="s">
        <v>76</v>
      </c>
      <c r="B46" s="413"/>
      <c r="C46" s="157" t="e">
        <f t="shared" si="18"/>
        <v>#REF!</v>
      </c>
      <c r="D46" s="32"/>
      <c r="E46" s="32"/>
      <c r="F46" s="32"/>
      <c r="G46" s="32"/>
      <c r="H46" s="32"/>
      <c r="I46" s="32" t="e">
        <f>I22/I16</f>
        <v>#REF!</v>
      </c>
      <c r="J46" s="32" t="e">
        <f t="shared" ref="J46:O46" si="24">J22/J16</f>
        <v>#REF!</v>
      </c>
      <c r="K46" s="32" t="e">
        <f t="shared" si="24"/>
        <v>#REF!</v>
      </c>
      <c r="L46" s="32" t="e">
        <f t="shared" si="24"/>
        <v>#REF!</v>
      </c>
      <c r="M46" s="32" t="e">
        <f t="shared" si="24"/>
        <v>#REF!</v>
      </c>
      <c r="N46" s="32" t="e">
        <f t="shared" si="24"/>
        <v>#REF!</v>
      </c>
      <c r="O46" s="32">
        <f t="shared" si="24"/>
        <v>0.5043144022591779</v>
      </c>
      <c r="P46" s="32">
        <f t="shared" ref="P46:AX46" si="25">P22/P16</f>
        <v>0.69190404797601202</v>
      </c>
      <c r="Q46" s="32">
        <f t="shared" si="25"/>
        <v>0.67153363616699113</v>
      </c>
      <c r="R46" s="32">
        <f t="shared" si="25"/>
        <v>0.49943568224569529</v>
      </c>
      <c r="S46" s="32">
        <f t="shared" si="25"/>
        <v>0.55567933501863831</v>
      </c>
      <c r="T46" s="32">
        <f t="shared" si="25"/>
        <v>0.52633875013632891</v>
      </c>
      <c r="U46" s="32">
        <f t="shared" si="25"/>
        <v>0.48878078443295836</v>
      </c>
      <c r="V46" s="32">
        <f t="shared" si="25"/>
        <v>0.52519570618290912</v>
      </c>
      <c r="W46" s="32">
        <f t="shared" si="25"/>
        <v>0.587449377389198</v>
      </c>
      <c r="X46" s="32">
        <f t="shared" si="25"/>
        <v>0.60348457350272233</v>
      </c>
      <c r="Y46" s="32">
        <f t="shared" si="25"/>
        <v>0.52267622461170848</v>
      </c>
      <c r="Z46" s="32" t="e">
        <f t="shared" si="25"/>
        <v>#DIV/0!</v>
      </c>
      <c r="AA46" s="32" t="e">
        <f t="shared" si="25"/>
        <v>#DIV/0!</v>
      </c>
      <c r="AB46" s="32" t="e">
        <f t="shared" si="25"/>
        <v>#DIV/0!</v>
      </c>
      <c r="AC46" s="32" t="e">
        <f t="shared" si="25"/>
        <v>#DIV/0!</v>
      </c>
      <c r="AD46" s="32" t="e">
        <f t="shared" si="25"/>
        <v>#DIV/0!</v>
      </c>
      <c r="AE46" s="32" t="e">
        <f t="shared" si="25"/>
        <v>#DIV/0!</v>
      </c>
      <c r="AF46" s="32" t="e">
        <f t="shared" si="25"/>
        <v>#DIV/0!</v>
      </c>
      <c r="AG46" s="32" t="e">
        <f t="shared" si="25"/>
        <v>#DIV/0!</v>
      </c>
      <c r="AH46" s="32" t="e">
        <f t="shared" si="25"/>
        <v>#DIV/0!</v>
      </c>
      <c r="AI46" s="32" t="e">
        <f t="shared" si="25"/>
        <v>#DIV/0!</v>
      </c>
      <c r="AJ46" s="32" t="e">
        <f t="shared" si="25"/>
        <v>#DIV/0!</v>
      </c>
      <c r="AK46" s="32" t="e">
        <f t="shared" si="25"/>
        <v>#DIV/0!</v>
      </c>
      <c r="AL46" s="32"/>
      <c r="AM46" s="32" t="e">
        <f>AM22/AM16</f>
        <v>#REF!</v>
      </c>
      <c r="AN46" s="32">
        <f>AN22/AN16</f>
        <v>0.60956849227626708</v>
      </c>
      <c r="AO46" s="157" t="e">
        <f t="shared" si="21"/>
        <v>#REF!</v>
      </c>
      <c r="AP46" s="32"/>
      <c r="AQ46" s="32"/>
      <c r="AR46" s="32" t="e">
        <f>AR22/AR16</f>
        <v>#REF!</v>
      </c>
      <c r="AS46" s="32" t="e">
        <f>AS22/AS16</f>
        <v>#REF!</v>
      </c>
      <c r="AT46" s="32">
        <f t="shared" si="25"/>
        <v>0.51703227337958713</v>
      </c>
      <c r="AU46" s="32">
        <f>AU22/AU16</f>
        <v>0.55758362238338954</v>
      </c>
      <c r="AV46" s="32">
        <f t="shared" si="25"/>
        <v>0.49337684776348628</v>
      </c>
      <c r="AW46" s="32">
        <f t="shared" si="25"/>
        <v>0.51784808842916541</v>
      </c>
      <c r="AX46" s="32">
        <f t="shared" si="25"/>
        <v>0.55688784154267934</v>
      </c>
      <c r="AY46" s="225">
        <v>0.54700000000000004</v>
      </c>
      <c r="AZ46" s="225">
        <v>0.56899999999999995</v>
      </c>
      <c r="BA46" s="225">
        <v>0.63900000000000001</v>
      </c>
      <c r="BB46" s="3"/>
      <c r="BC46" s="140"/>
      <c r="BD46" s="140"/>
      <c r="BG46" s="140"/>
    </row>
    <row r="47" spans="1:59" s="53" customFormat="1" ht="12.75" customHeight="1" x14ac:dyDescent="0.2">
      <c r="A47" s="91" t="s">
        <v>214</v>
      </c>
      <c r="B47" s="413"/>
      <c r="C47" s="157" t="e">
        <f t="shared" si="18"/>
        <v>#REF!</v>
      </c>
      <c r="D47" s="32"/>
      <c r="E47" s="32"/>
      <c r="F47" s="32"/>
      <c r="G47" s="32"/>
      <c r="H47" s="32"/>
      <c r="I47" s="32" t="e">
        <f t="shared" ref="I47:O47" si="26">(I22+I23)/I16</f>
        <v>#REF!</v>
      </c>
      <c r="J47" s="32" t="e">
        <f t="shared" si="26"/>
        <v>#REF!</v>
      </c>
      <c r="K47" s="32" t="e">
        <f t="shared" si="26"/>
        <v>#REF!</v>
      </c>
      <c r="L47" s="32" t="e">
        <f t="shared" si="26"/>
        <v>#REF!</v>
      </c>
      <c r="M47" s="32" t="e">
        <f t="shared" si="26"/>
        <v>#REF!</v>
      </c>
      <c r="N47" s="32" t="e">
        <f t="shared" si="26"/>
        <v>#REF!</v>
      </c>
      <c r="O47" s="32">
        <f t="shared" si="26"/>
        <v>0.60260433009099468</v>
      </c>
      <c r="P47" s="32">
        <f t="shared" ref="P47:AX47" si="27">(P22+P23)/P16</f>
        <v>0.8218033840222746</v>
      </c>
      <c r="Q47" s="32">
        <f t="shared" si="27"/>
        <v>0.80856586632057104</v>
      </c>
      <c r="R47" s="32">
        <f t="shared" si="27"/>
        <v>0.53555201852119805</v>
      </c>
      <c r="S47" s="32">
        <f t="shared" si="27"/>
        <v>0.61150863361755003</v>
      </c>
      <c r="T47" s="32">
        <f t="shared" si="27"/>
        <v>0.59477587523175923</v>
      </c>
      <c r="U47" s="32">
        <f t="shared" si="27"/>
        <v>0.56430525995743386</v>
      </c>
      <c r="V47" s="32">
        <f t="shared" si="27"/>
        <v>0.61444710073594899</v>
      </c>
      <c r="W47" s="32">
        <f t="shared" si="27"/>
        <v>0.65073237197683664</v>
      </c>
      <c r="X47" s="32">
        <f t="shared" si="27"/>
        <v>0.70482758620689656</v>
      </c>
      <c r="Y47" s="32">
        <f t="shared" si="27"/>
        <v>0.59307048984468336</v>
      </c>
      <c r="Z47" s="32" t="e">
        <f t="shared" si="27"/>
        <v>#DIV/0!</v>
      </c>
      <c r="AA47" s="32" t="e">
        <f t="shared" si="27"/>
        <v>#DIV/0!</v>
      </c>
      <c r="AB47" s="32" t="e">
        <f t="shared" si="27"/>
        <v>#DIV/0!</v>
      </c>
      <c r="AC47" s="32" t="e">
        <f t="shared" si="27"/>
        <v>#DIV/0!</v>
      </c>
      <c r="AD47" s="32" t="e">
        <f t="shared" si="27"/>
        <v>#DIV/0!</v>
      </c>
      <c r="AE47" s="32" t="e">
        <f t="shared" si="27"/>
        <v>#DIV/0!</v>
      </c>
      <c r="AF47" s="32" t="e">
        <f t="shared" si="27"/>
        <v>#DIV/0!</v>
      </c>
      <c r="AG47" s="32" t="e">
        <f t="shared" si="27"/>
        <v>#DIV/0!</v>
      </c>
      <c r="AH47" s="32" t="e">
        <f t="shared" si="27"/>
        <v>#DIV/0!</v>
      </c>
      <c r="AI47" s="32" t="e">
        <f t="shared" si="27"/>
        <v>#DIV/0!</v>
      </c>
      <c r="AJ47" s="32" t="e">
        <f t="shared" si="27"/>
        <v>#DIV/0!</v>
      </c>
      <c r="AK47" s="32" t="e">
        <f t="shared" si="27"/>
        <v>#DIV/0!</v>
      </c>
      <c r="AL47" s="32"/>
      <c r="AM47" s="32" t="e">
        <f>(AM22+AM23)/AM16</f>
        <v>#REF!</v>
      </c>
      <c r="AN47" s="32">
        <f>(AN22+AN23)/AN16</f>
        <v>0.72871186007915234</v>
      </c>
      <c r="AO47" s="157" t="e">
        <f t="shared" si="21"/>
        <v>#REF!</v>
      </c>
      <c r="AP47" s="32"/>
      <c r="AQ47" s="32"/>
      <c r="AR47" s="32" t="e">
        <f>(AR22+AR23)/AR16</f>
        <v>#REF!</v>
      </c>
      <c r="AS47" s="32" t="e">
        <f>(AS22+AS23)/AS16</f>
        <v>#REF!</v>
      </c>
      <c r="AT47" s="32">
        <f t="shared" si="27"/>
        <v>0.5715010196704684</v>
      </c>
      <c r="AU47" s="32">
        <f t="shared" si="27"/>
        <v>0.63574841729934262</v>
      </c>
      <c r="AV47" s="32">
        <f t="shared" si="27"/>
        <v>0.56965965499273241</v>
      </c>
      <c r="AW47" s="32">
        <f t="shared" si="27"/>
        <v>0.55627387350843394</v>
      </c>
      <c r="AX47" s="32">
        <f t="shared" si="27"/>
        <v>0.58076117425992668</v>
      </c>
      <c r="AY47" s="225">
        <v>0.57299999999999995</v>
      </c>
      <c r="AZ47" s="225">
        <v>0.64500000000000002</v>
      </c>
      <c r="BA47" s="225">
        <v>0.70799999999999996</v>
      </c>
      <c r="BB47" s="3"/>
      <c r="BC47" s="140"/>
      <c r="BD47" s="140"/>
      <c r="BG47" s="140"/>
    </row>
    <row r="48" spans="1:59" s="53" customFormat="1" ht="12.75" customHeight="1" x14ac:dyDescent="0.2">
      <c r="A48" s="91" t="s">
        <v>77</v>
      </c>
      <c r="B48" s="413"/>
      <c r="C48" s="157" t="e">
        <f t="shared" si="18"/>
        <v>#REF!</v>
      </c>
      <c r="D48" s="32"/>
      <c r="E48" s="32"/>
      <c r="F48" s="32"/>
      <c r="G48" s="32"/>
      <c r="H48" s="32"/>
      <c r="I48" s="32" t="e">
        <f t="shared" ref="I48:S48" si="28">(I35-I22-I23)/I16</f>
        <v>#REF!</v>
      </c>
      <c r="J48" s="32" t="e">
        <f t="shared" si="28"/>
        <v>#REF!</v>
      </c>
      <c r="K48" s="32" t="e">
        <f t="shared" si="28"/>
        <v>#REF!</v>
      </c>
      <c r="L48" s="32" t="e">
        <f t="shared" si="28"/>
        <v>#REF!</v>
      </c>
      <c r="M48" s="32" t="e">
        <f t="shared" si="28"/>
        <v>#REF!</v>
      </c>
      <c r="N48" s="32" t="e">
        <f t="shared" si="28"/>
        <v>#REF!</v>
      </c>
      <c r="O48" s="32">
        <f t="shared" si="28"/>
        <v>0.47607467838092249</v>
      </c>
      <c r="P48" s="32">
        <f t="shared" si="28"/>
        <v>0.60184193617476978</v>
      </c>
      <c r="Q48" s="32">
        <f t="shared" si="28"/>
        <v>0.71425481289206139</v>
      </c>
      <c r="R48" s="32">
        <f t="shared" si="28"/>
        <v>0.1941542468528433</v>
      </c>
      <c r="S48" s="32">
        <f t="shared" si="28"/>
        <v>0.26187925789451133</v>
      </c>
      <c r="T48" s="32">
        <f t="shared" ref="T48:AK48" si="29">(T25+T26+T27+T28+T29+T30+T32)/T16</f>
        <v>0.27134911113534738</v>
      </c>
      <c r="U48" s="32">
        <f t="shared" si="29"/>
        <v>0.34454241410763148</v>
      </c>
      <c r="V48" s="32">
        <f t="shared" si="29"/>
        <v>0.19317489335770871</v>
      </c>
      <c r="W48" s="32">
        <f t="shared" si="29"/>
        <v>0.16759395935051663</v>
      </c>
      <c r="X48" s="32">
        <f t="shared" si="29"/>
        <v>0.32029038112522684</v>
      </c>
      <c r="Y48" s="32">
        <f t="shared" si="29"/>
        <v>0.21639187574671445</v>
      </c>
      <c r="Z48" s="32" t="e">
        <f t="shared" si="29"/>
        <v>#DIV/0!</v>
      </c>
      <c r="AA48" s="32" t="e">
        <f t="shared" si="29"/>
        <v>#DIV/0!</v>
      </c>
      <c r="AB48" s="32" t="e">
        <f t="shared" si="29"/>
        <v>#DIV/0!</v>
      </c>
      <c r="AC48" s="32" t="e">
        <f t="shared" si="29"/>
        <v>#DIV/0!</v>
      </c>
      <c r="AD48" s="32" t="e">
        <f t="shared" si="29"/>
        <v>#DIV/0!</v>
      </c>
      <c r="AE48" s="32" t="e">
        <f t="shared" si="29"/>
        <v>#DIV/0!</v>
      </c>
      <c r="AF48" s="32" t="e">
        <f t="shared" si="29"/>
        <v>#DIV/0!</v>
      </c>
      <c r="AG48" s="32" t="e">
        <f t="shared" si="29"/>
        <v>#DIV/0!</v>
      </c>
      <c r="AH48" s="32" t="e">
        <f t="shared" si="29"/>
        <v>#DIV/0!</v>
      </c>
      <c r="AI48" s="32" t="e">
        <f t="shared" si="29"/>
        <v>#DIV/0!</v>
      </c>
      <c r="AJ48" s="32" t="e">
        <f t="shared" si="29"/>
        <v>#DIV/0!</v>
      </c>
      <c r="AK48" s="32" t="e">
        <f t="shared" si="29"/>
        <v>#DIV/0!</v>
      </c>
      <c r="AL48" s="32"/>
      <c r="AM48" s="32" t="e">
        <f>(AM35-AM22-AM23)/AM16</f>
        <v>#REF!</v>
      </c>
      <c r="AN48" s="32">
        <f>(AN35-AN22-AN23)/AN16</f>
        <v>0.58384399336141968</v>
      </c>
      <c r="AO48" s="157" t="e">
        <f t="shared" si="21"/>
        <v>#REF!</v>
      </c>
      <c r="AP48" s="32"/>
      <c r="AQ48" s="32"/>
      <c r="AR48" s="32" t="e">
        <f t="shared" ref="AR48:AW48" si="30">+(AR35-AR23-AR22)/AR16</f>
        <v>#REF!</v>
      </c>
      <c r="AS48" s="32" t="e">
        <f t="shared" si="30"/>
        <v>#REF!</v>
      </c>
      <c r="AT48" s="32">
        <f t="shared" si="30"/>
        <v>0.27604475759897279</v>
      </c>
      <c r="AU48" s="32">
        <f t="shared" si="30"/>
        <v>0.24863560288160672</v>
      </c>
      <c r="AV48" s="32">
        <f t="shared" si="30"/>
        <v>0.4024901955406851</v>
      </c>
      <c r="AW48" s="32">
        <f t="shared" si="30"/>
        <v>0.19347260250819728</v>
      </c>
      <c r="AX48" s="32">
        <f>(AX25+AX26+AX27+AX28+AX29+AX30+AX32)/AX16</f>
        <v>0.17301235252441241</v>
      </c>
      <c r="AY48" s="235">
        <v>9.4E-2</v>
      </c>
      <c r="AZ48" s="235">
        <v>9.2999999999999999E-2</v>
      </c>
      <c r="BA48" s="235">
        <v>0.104</v>
      </c>
      <c r="BB48" s="3"/>
      <c r="BC48" s="140"/>
      <c r="BD48" s="140"/>
      <c r="BG48" s="140"/>
    </row>
    <row r="49" spans="1:59" s="53" customFormat="1" ht="12.75" customHeight="1" x14ac:dyDescent="0.2">
      <c r="A49" s="91" t="s">
        <v>78</v>
      </c>
      <c r="B49" s="413"/>
      <c r="C49" s="157" t="e">
        <f t="shared" si="18"/>
        <v>#REF!</v>
      </c>
      <c r="D49" s="32"/>
      <c r="E49" s="32"/>
      <c r="F49" s="32"/>
      <c r="G49" s="32"/>
      <c r="H49" s="32"/>
      <c r="I49" s="32" t="e">
        <f>I35/I16</f>
        <v>#REF!</v>
      </c>
      <c r="J49" s="32" t="e">
        <f>J35/J16</f>
        <v>#REF!</v>
      </c>
      <c r="K49" s="32" t="e">
        <f>K35/K16</f>
        <v>#REF!</v>
      </c>
      <c r="L49" s="32" t="e">
        <f t="shared" ref="L49:AK49" si="31">L35/L16</f>
        <v>#REF!</v>
      </c>
      <c r="M49" s="32" t="e">
        <f t="shared" si="31"/>
        <v>#REF!</v>
      </c>
      <c r="N49" s="32" t="e">
        <f t="shared" si="31"/>
        <v>#REF!</v>
      </c>
      <c r="O49" s="32">
        <f t="shared" si="31"/>
        <v>1.0786790084719171</v>
      </c>
      <c r="P49" s="32">
        <f t="shared" si="31"/>
        <v>1.4236453201970443</v>
      </c>
      <c r="Q49" s="32">
        <f t="shared" si="31"/>
        <v>1.5228206792126324</v>
      </c>
      <c r="R49" s="32">
        <f t="shared" si="31"/>
        <v>0.72970626537404137</v>
      </c>
      <c r="S49" s="32">
        <f t="shared" si="31"/>
        <v>0.87338789151206131</v>
      </c>
      <c r="T49" s="32">
        <f t="shared" si="31"/>
        <v>0.92131093903370054</v>
      </c>
      <c r="U49" s="32">
        <f t="shared" si="31"/>
        <v>0.97622377622377621</v>
      </c>
      <c r="V49" s="32">
        <f t="shared" si="31"/>
        <v>0.90006093845216328</v>
      </c>
      <c r="W49" s="32">
        <f t="shared" si="31"/>
        <v>0.83138412626319969</v>
      </c>
      <c r="X49" s="32">
        <f t="shared" si="31"/>
        <v>1.0500181488203266</v>
      </c>
      <c r="Y49" s="32">
        <f t="shared" si="31"/>
        <v>0.82628434886499402</v>
      </c>
      <c r="Z49" s="32" t="e">
        <f t="shared" si="31"/>
        <v>#DIV/0!</v>
      </c>
      <c r="AA49" s="32" t="e">
        <f t="shared" si="31"/>
        <v>#DIV/0!</v>
      </c>
      <c r="AB49" s="32" t="e">
        <f t="shared" si="31"/>
        <v>#DIV/0!</v>
      </c>
      <c r="AC49" s="32" t="e">
        <f t="shared" si="31"/>
        <v>#DIV/0!</v>
      </c>
      <c r="AD49" s="32" t="e">
        <f t="shared" si="31"/>
        <v>#DIV/0!</v>
      </c>
      <c r="AE49" s="32" t="e">
        <f t="shared" si="31"/>
        <v>#DIV/0!</v>
      </c>
      <c r="AF49" s="32" t="e">
        <f t="shared" si="31"/>
        <v>#DIV/0!</v>
      </c>
      <c r="AG49" s="32" t="e">
        <f t="shared" si="31"/>
        <v>#DIV/0!</v>
      </c>
      <c r="AH49" s="32" t="e">
        <f t="shared" si="31"/>
        <v>#DIV/0!</v>
      </c>
      <c r="AI49" s="32" t="e">
        <f t="shared" si="31"/>
        <v>#DIV/0!</v>
      </c>
      <c r="AJ49" s="32" t="e">
        <f t="shared" si="31"/>
        <v>#DIV/0!</v>
      </c>
      <c r="AK49" s="32" t="e">
        <f t="shared" si="31"/>
        <v>#DIV/0!</v>
      </c>
      <c r="AL49" s="32"/>
      <c r="AM49" s="32" t="e">
        <f>AM35/AM16</f>
        <v>#REF!</v>
      </c>
      <c r="AN49" s="32">
        <f>AN35/AN16</f>
        <v>1.3125558534405719</v>
      </c>
      <c r="AO49" s="157" t="e">
        <f t="shared" si="21"/>
        <v>#REF!</v>
      </c>
      <c r="AP49" s="32"/>
      <c r="AQ49" s="32"/>
      <c r="AR49" s="32" t="e">
        <f>AR35/AR16</f>
        <v>#REF!</v>
      </c>
      <c r="AS49" s="32" t="e">
        <f t="shared" ref="AS49:AX49" si="32">AS35/AS16</f>
        <v>#REF!</v>
      </c>
      <c r="AT49" s="32">
        <f t="shared" si="32"/>
        <v>0.84754577726944114</v>
      </c>
      <c r="AU49" s="32">
        <f t="shared" si="32"/>
        <v>0.88438402018094942</v>
      </c>
      <c r="AV49" s="32">
        <f t="shared" si="32"/>
        <v>0.9721498505334174</v>
      </c>
      <c r="AW49" s="32">
        <f t="shared" si="32"/>
        <v>0.74974647601663114</v>
      </c>
      <c r="AX49" s="32">
        <f t="shared" si="32"/>
        <v>0.7558451159781906</v>
      </c>
      <c r="AY49" s="235">
        <v>0.66699999999999993</v>
      </c>
      <c r="AZ49" s="235">
        <v>0.73799999999999999</v>
      </c>
      <c r="BA49" s="235">
        <v>0.81199999999999994</v>
      </c>
      <c r="BB49" s="3"/>
      <c r="BC49" s="140"/>
      <c r="BD49" s="140"/>
      <c r="BG49" s="140"/>
    </row>
    <row r="50" spans="1:59" s="53" customFormat="1" ht="12.75" customHeight="1" x14ac:dyDescent="0.2">
      <c r="A50" s="91" t="s">
        <v>79</v>
      </c>
      <c r="B50" s="413"/>
      <c r="C50" s="157" t="e">
        <f t="shared" si="18"/>
        <v>#REF!</v>
      </c>
      <c r="D50" s="32"/>
      <c r="E50" s="32"/>
      <c r="F50" s="32"/>
      <c r="G50" s="32"/>
      <c r="H50" s="32"/>
      <c r="I50" s="32" t="e">
        <f>I36/I16</f>
        <v>#REF!</v>
      </c>
      <c r="J50" s="32" t="e">
        <f>J36/J16</f>
        <v>#REF!</v>
      </c>
      <c r="K50" s="32" t="e">
        <f>K36/K16</f>
        <v>#REF!</v>
      </c>
      <c r="L50" s="32" t="e">
        <f t="shared" ref="L50:AK50" si="33">L36/L16</f>
        <v>#REF!</v>
      </c>
      <c r="M50" s="32" t="e">
        <f t="shared" si="33"/>
        <v>#REF!</v>
      </c>
      <c r="N50" s="32" t="e">
        <f t="shared" si="33"/>
        <v>#REF!</v>
      </c>
      <c r="O50" s="32">
        <f t="shared" si="33"/>
        <v>-7.8679008471917167E-2</v>
      </c>
      <c r="P50" s="32">
        <f t="shared" si="33"/>
        <v>-0.42364532019704432</v>
      </c>
      <c r="Q50" s="32">
        <f t="shared" si="33"/>
        <v>-0.52282067921263253</v>
      </c>
      <c r="R50" s="32">
        <f t="shared" si="33"/>
        <v>0.27029373462595863</v>
      </c>
      <c r="S50" s="32">
        <f t="shared" si="33"/>
        <v>0.12661210848793863</v>
      </c>
      <c r="T50" s="32">
        <f t="shared" si="33"/>
        <v>7.868906096629949E-2</v>
      </c>
      <c r="U50" s="32">
        <f t="shared" si="33"/>
        <v>2.3776223776223775E-2</v>
      </c>
      <c r="V50" s="32">
        <f t="shared" si="33"/>
        <v>9.9939061547836688E-2</v>
      </c>
      <c r="W50" s="32">
        <f t="shared" si="33"/>
        <v>0.16861587373680026</v>
      </c>
      <c r="X50" s="32">
        <f t="shared" si="33"/>
        <v>-5.001814882032668E-2</v>
      </c>
      <c r="Y50" s="32">
        <f t="shared" si="33"/>
        <v>0.17371565113500598</v>
      </c>
      <c r="Z50" s="32" t="e">
        <f t="shared" si="33"/>
        <v>#DIV/0!</v>
      </c>
      <c r="AA50" s="32" t="e">
        <f t="shared" si="33"/>
        <v>#DIV/0!</v>
      </c>
      <c r="AB50" s="32" t="e">
        <f t="shared" si="33"/>
        <v>#DIV/0!</v>
      </c>
      <c r="AC50" s="32" t="e">
        <f t="shared" si="33"/>
        <v>#DIV/0!</v>
      </c>
      <c r="AD50" s="32" t="e">
        <f t="shared" si="33"/>
        <v>#DIV/0!</v>
      </c>
      <c r="AE50" s="32" t="e">
        <f t="shared" si="33"/>
        <v>#DIV/0!</v>
      </c>
      <c r="AF50" s="32" t="e">
        <f t="shared" si="33"/>
        <v>#DIV/0!</v>
      </c>
      <c r="AG50" s="32" t="e">
        <f t="shared" si="33"/>
        <v>#DIV/0!</v>
      </c>
      <c r="AH50" s="32" t="e">
        <f t="shared" si="33"/>
        <v>#DIV/0!</v>
      </c>
      <c r="AI50" s="32" t="e">
        <f t="shared" si="33"/>
        <v>#DIV/0!</v>
      </c>
      <c r="AJ50" s="32" t="e">
        <f t="shared" si="33"/>
        <v>#DIV/0!</v>
      </c>
      <c r="AK50" s="32" t="e">
        <f t="shared" si="33"/>
        <v>#DIV/0!</v>
      </c>
      <c r="AL50" s="32"/>
      <c r="AM50" s="32" t="e">
        <f>AM36/AM16</f>
        <v>#REF!</v>
      </c>
      <c r="AN50" s="32">
        <f>AN36/AN16</f>
        <v>-0.31255585344057196</v>
      </c>
      <c r="AO50" s="157" t="e">
        <f t="shared" si="21"/>
        <v>#REF!</v>
      </c>
      <c r="AP50" s="32"/>
      <c r="AQ50" s="32"/>
      <c r="AR50" s="32" t="e">
        <f>AR36/AR16</f>
        <v>#REF!</v>
      </c>
      <c r="AS50" s="32" t="e">
        <f t="shared" ref="AS50:AZ50" si="34">AS36/AS16</f>
        <v>#REF!</v>
      </c>
      <c r="AT50" s="32">
        <f t="shared" si="34"/>
        <v>0.15245422273055884</v>
      </c>
      <c r="AU50" s="32">
        <f t="shared" si="34"/>
        <v>0.11561597981905063</v>
      </c>
      <c r="AV50" s="32">
        <f t="shared" si="34"/>
        <v>2.7850149466582562E-2</v>
      </c>
      <c r="AW50" s="32">
        <f t="shared" si="34"/>
        <v>0.25025352398336881</v>
      </c>
      <c r="AX50" s="32">
        <f t="shared" si="34"/>
        <v>0.24415488402180943</v>
      </c>
      <c r="AY50" s="225">
        <f t="shared" si="34"/>
        <v>0.33309769658459093</v>
      </c>
      <c r="AZ50" s="225">
        <f t="shared" si="34"/>
        <v>0.26208975794642086</v>
      </c>
      <c r="BA50" s="225">
        <v>0.18800000000000006</v>
      </c>
      <c r="BB50" s="3"/>
      <c r="BC50" s="140"/>
      <c r="BD50" s="140"/>
      <c r="BG50" s="140"/>
    </row>
    <row r="51" spans="1:59" s="53" customFormat="1" ht="12.75" customHeight="1" x14ac:dyDescent="0.2">
      <c r="A51" s="89"/>
      <c r="B51" s="413"/>
      <c r="C51" s="32"/>
      <c r="D51" s="32"/>
      <c r="E51" s="32"/>
      <c r="F51" s="32"/>
      <c r="G51" s="32"/>
      <c r="H51" s="32"/>
      <c r="I51" s="487"/>
      <c r="J51" s="32"/>
      <c r="K51" s="32"/>
      <c r="L51" s="32"/>
      <c r="M51" s="487"/>
      <c r="N51" s="32"/>
      <c r="O51" s="32"/>
      <c r="P51" s="32"/>
      <c r="Q51" s="44"/>
      <c r="R51" s="32"/>
      <c r="S51" s="32"/>
      <c r="T51" s="32"/>
      <c r="U51" s="44"/>
      <c r="V51" s="32"/>
      <c r="W51" s="32"/>
      <c r="X51" s="32"/>
      <c r="Y51" s="44"/>
      <c r="Z51" s="32"/>
      <c r="AA51" s="32"/>
      <c r="AB51" s="32"/>
      <c r="AC51" s="44"/>
      <c r="AD51" s="44"/>
      <c r="AE51" s="44"/>
      <c r="AF51" s="44"/>
      <c r="AG51" s="44"/>
      <c r="AH51" s="44"/>
      <c r="AI51" s="44"/>
      <c r="AJ51" s="44"/>
      <c r="AK51" s="44"/>
      <c r="AL51" s="32"/>
      <c r="AM51" s="32"/>
      <c r="AN51" s="32"/>
      <c r="AO51" s="183"/>
      <c r="AP51" s="35"/>
      <c r="AQ51" s="32"/>
      <c r="AR51" s="496"/>
      <c r="AS51" s="190"/>
      <c r="AT51" s="190"/>
      <c r="AU51" s="32"/>
      <c r="AV51" s="32"/>
      <c r="AW51" s="32"/>
      <c r="AX51" s="32"/>
      <c r="AY51" s="225"/>
      <c r="AZ51" s="225"/>
      <c r="BA51" s="225"/>
      <c r="BB51" s="3"/>
      <c r="BC51" s="140"/>
      <c r="BD51" s="140"/>
      <c r="BG51" s="140"/>
    </row>
    <row r="52" spans="1:59" s="53" customFormat="1" ht="12.75" customHeight="1" x14ac:dyDescent="0.2">
      <c r="A52" s="44" t="s">
        <v>88</v>
      </c>
      <c r="B52" s="413"/>
      <c r="C52" s="111">
        <f>I52-M52</f>
        <v>-17</v>
      </c>
      <c r="D52" s="513">
        <f>IF(OR((C52/M52)&gt;3,(C52/M52)&lt;-3),"n.m.",(C52/M52))</f>
        <v>-2.4495677233429394E-2</v>
      </c>
      <c r="E52" s="35"/>
      <c r="F52" s="418"/>
      <c r="G52" s="418"/>
      <c r="H52" s="418"/>
      <c r="I52" s="122">
        <f>+'12 Misc Operating Stats'!U19+'12 Misc Operating Stats'!U18</f>
        <v>677</v>
      </c>
      <c r="J52" s="418">
        <f>+'12 Misc Operating Stats'!V18+'12 Misc Operating Stats'!V19</f>
        <v>694</v>
      </c>
      <c r="K52" s="418">
        <f>+'12 Misc Operating Stats'!W18+'12 Misc Operating Stats'!W19</f>
        <v>722</v>
      </c>
      <c r="L52" s="418">
        <f>+'12 Misc Operating Stats'!X19+'12 Misc Operating Stats'!X18</f>
        <v>682</v>
      </c>
      <c r="M52" s="122">
        <f>+'12 Misc Operating Stats'!Y18+'12 Misc Operating Stats'!Y19</f>
        <v>694</v>
      </c>
      <c r="N52" s="122">
        <f>'12 Misc Operating Stats'!Z18+'12 Misc Operating Stats'!Z19</f>
        <v>737</v>
      </c>
      <c r="O52" s="122">
        <f>'12 Misc Operating Stats'!AA18</f>
        <v>143</v>
      </c>
      <c r="P52" s="122">
        <f>'12 Misc Operating Stats'!AB18</f>
        <v>152</v>
      </c>
      <c r="Q52" s="122">
        <v>155</v>
      </c>
      <c r="R52" s="122">
        <v>143</v>
      </c>
      <c r="S52" s="122">
        <v>140</v>
      </c>
      <c r="T52" s="122">
        <v>142</v>
      </c>
      <c r="U52" s="122">
        <v>137</v>
      </c>
      <c r="V52" s="122">
        <v>138</v>
      </c>
      <c r="W52" s="122">
        <v>136</v>
      </c>
      <c r="X52" s="122">
        <v>124</v>
      </c>
      <c r="Y52" s="122">
        <v>111</v>
      </c>
      <c r="Z52" s="122">
        <v>114</v>
      </c>
      <c r="AA52" s="122">
        <v>117</v>
      </c>
      <c r="AB52" s="122">
        <v>127</v>
      </c>
      <c r="AC52" s="122">
        <v>125</v>
      </c>
      <c r="AD52" s="122">
        <v>125</v>
      </c>
      <c r="AE52" s="122">
        <v>116</v>
      </c>
      <c r="AF52" s="122">
        <v>109</v>
      </c>
      <c r="AG52" s="122">
        <v>104</v>
      </c>
      <c r="AH52" s="122">
        <v>93</v>
      </c>
      <c r="AI52" s="122">
        <v>95</v>
      </c>
      <c r="AJ52" s="122">
        <v>89</v>
      </c>
      <c r="AK52" s="122">
        <v>88</v>
      </c>
      <c r="AL52" s="122"/>
      <c r="AM52" s="418">
        <f>K52</f>
        <v>722</v>
      </c>
      <c r="AN52" s="418">
        <f>O52</f>
        <v>143</v>
      </c>
      <c r="AO52" s="418">
        <f>AR52-AS52</f>
        <v>-43</v>
      </c>
      <c r="AP52" s="418"/>
      <c r="AQ52" s="418"/>
      <c r="AR52" s="418">
        <f>+J52</f>
        <v>694</v>
      </c>
      <c r="AS52" s="418">
        <f>N52</f>
        <v>737</v>
      </c>
      <c r="AT52" s="418">
        <f>R52</f>
        <v>143</v>
      </c>
      <c r="AU52" s="418">
        <f>V52</f>
        <v>138</v>
      </c>
      <c r="AV52" s="418">
        <v>113</v>
      </c>
      <c r="AW52" s="418">
        <v>124</v>
      </c>
      <c r="AX52" s="418">
        <v>92</v>
      </c>
      <c r="AY52" s="219">
        <v>81</v>
      </c>
      <c r="AZ52" s="219">
        <v>70</v>
      </c>
      <c r="BA52" s="219">
        <v>52</v>
      </c>
      <c r="BB52" s="3"/>
      <c r="BC52" s="140"/>
      <c r="BD52" s="140"/>
      <c r="BG52" s="140"/>
    </row>
    <row r="53" spans="1:59" s="53" customFormat="1" ht="12.75" customHeight="1" x14ac:dyDescent="0.2">
      <c r="A53" s="44"/>
      <c r="B53" s="413"/>
      <c r="C53" s="111"/>
      <c r="D53" s="35"/>
      <c r="E53" s="35"/>
      <c r="F53" s="487"/>
      <c r="G53" s="487"/>
      <c r="H53" s="487"/>
      <c r="I53" s="487"/>
      <c r="J53" s="487"/>
      <c r="K53" s="487"/>
      <c r="L53" s="487"/>
      <c r="M53" s="487"/>
      <c r="N53" s="94"/>
      <c r="O53" s="44"/>
      <c r="P53" s="44"/>
      <c r="Q53" s="44"/>
      <c r="R53" s="94"/>
      <c r="S53" s="44"/>
      <c r="T53" s="90"/>
      <c r="U53" s="44"/>
      <c r="V53" s="94"/>
      <c r="W53" s="44"/>
      <c r="X53" s="90"/>
      <c r="Y53" s="44"/>
      <c r="Z53" s="94"/>
      <c r="AA53" s="44"/>
      <c r="AB53" s="90"/>
      <c r="AC53" s="44"/>
      <c r="AD53" s="44"/>
      <c r="AE53" s="44"/>
      <c r="AF53" s="44"/>
      <c r="AG53" s="44"/>
      <c r="AH53" s="44"/>
      <c r="AI53" s="44"/>
      <c r="AJ53" s="44"/>
      <c r="AK53" s="44"/>
      <c r="AL53" s="174"/>
      <c r="AM53" s="174"/>
      <c r="AN53" s="174"/>
      <c r="AO53" s="183"/>
      <c r="AP53" s="35"/>
      <c r="AQ53" s="174"/>
      <c r="AR53" s="496"/>
      <c r="AS53" s="190"/>
      <c r="AT53" s="190"/>
      <c r="AU53" s="163"/>
      <c r="AV53" s="163"/>
      <c r="AW53" s="44"/>
      <c r="AX53" s="44"/>
      <c r="AY53" s="219"/>
      <c r="AZ53" s="219"/>
      <c r="BA53" s="219"/>
      <c r="BB53" s="3"/>
      <c r="BC53" s="140"/>
      <c r="BD53" s="140"/>
      <c r="BG53" s="140"/>
    </row>
    <row r="54" spans="1:59" ht="18" customHeight="1" x14ac:dyDescent="0.2">
      <c r="A54" s="10" t="s">
        <v>252</v>
      </c>
      <c r="B54" s="6"/>
      <c r="C54" s="44"/>
      <c r="D54" s="44"/>
      <c r="E54" s="94"/>
      <c r="F54" s="488"/>
      <c r="G54" s="488"/>
      <c r="H54" s="488"/>
      <c r="I54" s="488"/>
      <c r="J54" s="488"/>
      <c r="K54" s="488"/>
      <c r="L54" s="488"/>
      <c r="M54" s="488"/>
      <c r="N54" s="362"/>
      <c r="O54" s="94"/>
      <c r="P54" s="94"/>
      <c r="Q54" s="94"/>
      <c r="R54" s="94"/>
      <c r="S54" s="94"/>
      <c r="T54" s="94"/>
      <c r="U54" s="94"/>
      <c r="V54" s="94"/>
      <c r="W54" s="94"/>
      <c r="X54" s="94"/>
      <c r="Y54" s="94"/>
      <c r="Z54" s="94"/>
      <c r="AA54" s="94"/>
      <c r="AB54" s="94"/>
      <c r="AC54" s="94"/>
      <c r="AD54" s="94"/>
      <c r="AE54" s="94"/>
      <c r="AF54" s="44"/>
      <c r="AG54" s="44"/>
      <c r="AH54" s="44"/>
      <c r="AI54" s="44"/>
      <c r="AJ54" s="44"/>
      <c r="AK54" s="44"/>
      <c r="AL54" s="44"/>
      <c r="AM54" s="44"/>
      <c r="AN54" s="44"/>
      <c r="AO54" s="373"/>
      <c r="AP54" s="373"/>
      <c r="AQ54" s="44"/>
      <c r="AR54" s="373"/>
      <c r="AS54" s="373"/>
      <c r="AT54" s="373"/>
      <c r="AU54" s="44"/>
      <c r="AV54" s="44"/>
      <c r="AW54" s="44"/>
      <c r="AX54" s="44"/>
      <c r="AY54" s="224"/>
      <c r="AZ54" s="224"/>
      <c r="BA54" s="224"/>
      <c r="BB54" s="3"/>
      <c r="BC54" s="3"/>
      <c r="BD54" s="3"/>
      <c r="BG54" s="3"/>
    </row>
    <row r="55" spans="1:59" ht="12.75" customHeight="1" x14ac:dyDescent="0.2">
      <c r="A55" s="126"/>
      <c r="B55" s="419"/>
      <c r="C55" s="44"/>
      <c r="D55" s="44"/>
      <c r="E55" s="94"/>
      <c r="F55" s="488"/>
      <c r="G55" s="488"/>
      <c r="H55" s="488"/>
      <c r="I55" s="488"/>
      <c r="J55" s="488"/>
      <c r="K55" s="488"/>
      <c r="L55" s="488"/>
      <c r="M55" s="488"/>
      <c r="N55" s="268"/>
      <c r="O55" s="94"/>
      <c r="P55" s="94"/>
      <c r="Q55" s="94"/>
      <c r="R55" s="268"/>
      <c r="S55" s="94"/>
      <c r="T55" s="268"/>
      <c r="U55" s="94"/>
      <c r="V55" s="268"/>
      <c r="W55" s="94"/>
      <c r="X55" s="268"/>
      <c r="Y55" s="94"/>
      <c r="Z55" s="268"/>
      <c r="AA55" s="94"/>
      <c r="AB55" s="94"/>
      <c r="AC55" s="94"/>
      <c r="AD55" s="94"/>
      <c r="AE55" s="94"/>
      <c r="AF55" s="44"/>
      <c r="AG55" s="44"/>
      <c r="AH55" s="44"/>
      <c r="AI55" s="44"/>
      <c r="AJ55" s="44"/>
      <c r="AK55" s="44"/>
      <c r="AL55" s="44"/>
      <c r="AM55" s="44"/>
      <c r="AN55" s="44"/>
      <c r="AO55" s="373"/>
      <c r="AP55" s="373"/>
      <c r="AQ55" s="44"/>
      <c r="AR55" s="373"/>
      <c r="AS55" s="373"/>
      <c r="AT55" s="373"/>
      <c r="AU55" s="44"/>
      <c r="AV55" s="44"/>
      <c r="AW55" s="44"/>
      <c r="AX55" s="44"/>
      <c r="AY55" s="224"/>
      <c r="AZ55" s="224"/>
      <c r="BA55" s="224"/>
      <c r="BB55" s="3"/>
      <c r="BC55" s="3"/>
      <c r="BD55" s="3"/>
      <c r="BG55" s="3"/>
    </row>
    <row r="56" spans="1:59" ht="12.75" customHeight="1" x14ac:dyDescent="0.2">
      <c r="A56" s="5"/>
      <c r="B56" s="6"/>
      <c r="C56" s="2493" t="s">
        <v>327</v>
      </c>
      <c r="D56" s="2494"/>
      <c r="E56" s="187"/>
      <c r="F56" s="276"/>
      <c r="G56" s="276"/>
      <c r="H56" s="276"/>
      <c r="I56" s="17"/>
      <c r="J56" s="276"/>
      <c r="K56" s="276"/>
      <c r="L56" s="276"/>
      <c r="M56" s="17"/>
      <c r="N56" s="15"/>
      <c r="O56" s="16"/>
      <c r="P56" s="276"/>
      <c r="Q56" s="17"/>
      <c r="R56" s="15"/>
      <c r="S56" s="16"/>
      <c r="T56" s="276"/>
      <c r="U56" s="17"/>
      <c r="V56" s="486"/>
      <c r="W56" s="16"/>
      <c r="X56" s="2"/>
      <c r="Y56" s="17"/>
      <c r="Z56" s="16"/>
      <c r="AA56" s="486"/>
      <c r="AB56" s="276"/>
      <c r="AC56" s="17"/>
      <c r="AD56" s="16"/>
      <c r="AE56" s="16"/>
      <c r="AF56" s="16"/>
      <c r="AG56" s="16"/>
      <c r="AH56" s="20"/>
      <c r="AI56" s="17"/>
      <c r="AJ56" s="17"/>
      <c r="AK56" s="17"/>
      <c r="AL56" s="22"/>
      <c r="AM56" s="450" t="s">
        <v>311</v>
      </c>
      <c r="AN56" s="438"/>
      <c r="AO56" s="438" t="s">
        <v>296</v>
      </c>
      <c r="AP56" s="439"/>
      <c r="AQ56" s="13"/>
      <c r="AR56" s="535"/>
      <c r="AS56" s="469"/>
      <c r="AT56" s="453"/>
      <c r="AU56" s="46"/>
      <c r="AV56" s="46"/>
      <c r="AW56" s="129"/>
      <c r="AX56" s="127"/>
      <c r="AY56" s="46"/>
      <c r="AZ56" s="46"/>
      <c r="BA56" s="469"/>
      <c r="BB56" s="23"/>
      <c r="BC56" s="3"/>
      <c r="BD56" s="3"/>
      <c r="BG56" s="3"/>
    </row>
    <row r="57" spans="1:59" ht="12.75" customHeight="1" x14ac:dyDescent="0.2">
      <c r="A57" s="5" t="s">
        <v>95</v>
      </c>
      <c r="B57" s="6"/>
      <c r="C57" s="2495" t="s">
        <v>39</v>
      </c>
      <c r="D57" s="2496"/>
      <c r="E57" s="358"/>
      <c r="F57" s="19" t="s">
        <v>330</v>
      </c>
      <c r="G57" s="19" t="s">
        <v>329</v>
      </c>
      <c r="H57" s="19" t="s">
        <v>328</v>
      </c>
      <c r="I57" s="12" t="s">
        <v>326</v>
      </c>
      <c r="J57" s="19" t="s">
        <v>282</v>
      </c>
      <c r="K57" s="19" t="s">
        <v>283</v>
      </c>
      <c r="L57" s="19" t="s">
        <v>284</v>
      </c>
      <c r="M57" s="12" t="s">
        <v>285</v>
      </c>
      <c r="N57" s="18" t="s">
        <v>220</v>
      </c>
      <c r="O57" s="19" t="s">
        <v>221</v>
      </c>
      <c r="P57" s="19" t="s">
        <v>222</v>
      </c>
      <c r="Q57" s="12" t="s">
        <v>219</v>
      </c>
      <c r="R57" s="18" t="s">
        <v>185</v>
      </c>
      <c r="S57" s="19" t="s">
        <v>186</v>
      </c>
      <c r="T57" s="19" t="s">
        <v>187</v>
      </c>
      <c r="U57" s="12" t="s">
        <v>188</v>
      </c>
      <c r="V57" s="19" t="s">
        <v>118</v>
      </c>
      <c r="W57" s="19" t="s">
        <v>117</v>
      </c>
      <c r="X57" s="19" t="s">
        <v>116</v>
      </c>
      <c r="Y57" s="12" t="s">
        <v>115</v>
      </c>
      <c r="Z57" s="19" t="s">
        <v>83</v>
      </c>
      <c r="AA57" s="19" t="s">
        <v>84</v>
      </c>
      <c r="AB57" s="19" t="s">
        <v>85</v>
      </c>
      <c r="AC57" s="12" t="s">
        <v>30</v>
      </c>
      <c r="AD57" s="19" t="s">
        <v>31</v>
      </c>
      <c r="AE57" s="19" t="s">
        <v>32</v>
      </c>
      <c r="AF57" s="19" t="s">
        <v>33</v>
      </c>
      <c r="AG57" s="19" t="s">
        <v>34</v>
      </c>
      <c r="AH57" s="21" t="s">
        <v>35</v>
      </c>
      <c r="AI57" s="12" t="s">
        <v>36</v>
      </c>
      <c r="AJ57" s="12" t="s">
        <v>37</v>
      </c>
      <c r="AK57" s="12" t="s">
        <v>38</v>
      </c>
      <c r="AL57" s="187"/>
      <c r="AM57" s="19" t="s">
        <v>283</v>
      </c>
      <c r="AN57" s="19" t="s">
        <v>221</v>
      </c>
      <c r="AO57" s="2497" t="s">
        <v>39</v>
      </c>
      <c r="AP57" s="2496"/>
      <c r="AQ57" s="130"/>
      <c r="AR57" s="161" t="s">
        <v>287</v>
      </c>
      <c r="AS57" s="161" t="s">
        <v>224</v>
      </c>
      <c r="AT57" s="161" t="s">
        <v>120</v>
      </c>
      <c r="AU57" s="18" t="s">
        <v>119</v>
      </c>
      <c r="AV57" s="18" t="s">
        <v>43</v>
      </c>
      <c r="AW57" s="18" t="s">
        <v>40</v>
      </c>
      <c r="AX57" s="21" t="s">
        <v>41</v>
      </c>
      <c r="AY57" s="21" t="s">
        <v>138</v>
      </c>
      <c r="AZ57" s="21" t="s">
        <v>139</v>
      </c>
      <c r="BA57" s="18" t="s">
        <v>140</v>
      </c>
      <c r="BB57" s="23"/>
      <c r="BC57" s="3"/>
      <c r="BD57" s="3"/>
      <c r="BG57" s="3"/>
    </row>
    <row r="58" spans="1:59" ht="12.75" customHeight="1" x14ac:dyDescent="0.2">
      <c r="A58" s="93"/>
      <c r="B58" s="94" t="s">
        <v>4</v>
      </c>
      <c r="C58" s="265" t="e">
        <f>I58-M58</f>
        <v>#REF!</v>
      </c>
      <c r="D58" s="503" t="e">
        <f>IF(OR((C58/M58)&gt;3,(C58/M58)&lt;-3),"n.m.",(C58/M58))</f>
        <v>#REF!</v>
      </c>
      <c r="E58" s="47"/>
      <c r="F58" s="499" t="e">
        <f t="shared" ref="F58:M58" si="35">+F16</f>
        <v>#REF!</v>
      </c>
      <c r="G58" s="499" t="e">
        <f t="shared" si="35"/>
        <v>#REF!</v>
      </c>
      <c r="H58" s="499" t="e">
        <f t="shared" si="35"/>
        <v>#REF!</v>
      </c>
      <c r="I58" s="500" t="e">
        <f t="shared" si="35"/>
        <v>#REF!</v>
      </c>
      <c r="J58" s="499" t="e">
        <f t="shared" si="35"/>
        <v>#REF!</v>
      </c>
      <c r="K58" s="499" t="e">
        <f t="shared" si="35"/>
        <v>#REF!</v>
      </c>
      <c r="L58" s="499" t="e">
        <f t="shared" si="35"/>
        <v>#REF!</v>
      </c>
      <c r="M58" s="500" t="e">
        <f t="shared" si="35"/>
        <v>#REF!</v>
      </c>
      <c r="N58" s="238" t="e">
        <f>N16</f>
        <v>#REF!</v>
      </c>
      <c r="O58" s="238">
        <f>O16</f>
        <v>12748</v>
      </c>
      <c r="P58" s="238">
        <f>P16</f>
        <v>9338</v>
      </c>
      <c r="Q58" s="255">
        <f>Q16</f>
        <v>9246</v>
      </c>
      <c r="R58" s="238">
        <f t="shared" ref="R58:AX58" si="36">R16</f>
        <v>34555</v>
      </c>
      <c r="S58" s="238">
        <f t="shared" si="36"/>
        <v>23339</v>
      </c>
      <c r="T58" s="238">
        <f t="shared" si="36"/>
        <v>18338</v>
      </c>
      <c r="U58" s="255">
        <f t="shared" si="36"/>
        <v>16445</v>
      </c>
      <c r="V58" s="238">
        <f t="shared" si="36"/>
        <v>21333</v>
      </c>
      <c r="W58" s="238">
        <f t="shared" si="36"/>
        <v>26421</v>
      </c>
      <c r="X58" s="238">
        <f t="shared" si="36"/>
        <v>13775</v>
      </c>
      <c r="Y58" s="255">
        <f t="shared" si="36"/>
        <v>20925</v>
      </c>
      <c r="Z58" s="248">
        <f t="shared" si="36"/>
        <v>0</v>
      </c>
      <c r="AA58" s="238">
        <f t="shared" si="36"/>
        <v>0</v>
      </c>
      <c r="AB58" s="238">
        <f t="shared" si="36"/>
        <v>0</v>
      </c>
      <c r="AC58" s="255">
        <f t="shared" si="36"/>
        <v>0</v>
      </c>
      <c r="AD58" s="164">
        <f t="shared" si="36"/>
        <v>0</v>
      </c>
      <c r="AE58" s="164">
        <f t="shared" si="36"/>
        <v>0</v>
      </c>
      <c r="AF58" s="164">
        <f t="shared" si="36"/>
        <v>0</v>
      </c>
      <c r="AG58" s="165">
        <f t="shared" si="36"/>
        <v>0</v>
      </c>
      <c r="AH58" s="186">
        <f t="shared" si="36"/>
        <v>0</v>
      </c>
      <c r="AI58" s="165">
        <f t="shared" si="36"/>
        <v>0</v>
      </c>
      <c r="AJ58" s="165">
        <f t="shared" si="36"/>
        <v>0</v>
      </c>
      <c r="AK58" s="165">
        <f t="shared" si="36"/>
        <v>0</v>
      </c>
      <c r="AL58" s="47"/>
      <c r="AM58" s="171" t="e">
        <f>SUM(K58:M58)</f>
        <v>#REF!</v>
      </c>
      <c r="AN58" s="459">
        <f>SUM(O58:Q58)</f>
        <v>31332</v>
      </c>
      <c r="AO58" s="183" t="e">
        <f>AR58-AS58</f>
        <v>#REF!</v>
      </c>
      <c r="AP58" s="503" t="e">
        <f>IF(OR((AO58/AS58)&gt;3,(AO58/AS58)&lt;-3),"n.m.",(AO58/AS58))</f>
        <v>#REF!</v>
      </c>
      <c r="AQ58" s="44"/>
      <c r="AR58" s="383" t="e">
        <f>SUM(J58:M58)</f>
        <v>#REF!</v>
      </c>
      <c r="AS58" s="383" t="e">
        <f>SUM(N58:Q58)</f>
        <v>#REF!</v>
      </c>
      <c r="AT58" s="383">
        <f t="shared" si="36"/>
        <v>92677</v>
      </c>
      <c r="AU58" s="121">
        <f t="shared" si="36"/>
        <v>82454</v>
      </c>
      <c r="AV58" s="121">
        <f t="shared" si="36"/>
        <v>72926</v>
      </c>
      <c r="AW58" s="132">
        <f t="shared" si="36"/>
        <v>118332</v>
      </c>
      <c r="AX58" s="132">
        <f t="shared" si="36"/>
        <v>129852</v>
      </c>
      <c r="AY58" s="233">
        <f>AY16</f>
        <v>125900</v>
      </c>
      <c r="AZ58" s="233">
        <f>AZ16</f>
        <v>116090</v>
      </c>
      <c r="BA58" s="265">
        <f>BA16</f>
        <v>84489</v>
      </c>
      <c r="BB58" s="23"/>
      <c r="BC58" s="3"/>
      <c r="BD58" s="3"/>
      <c r="BG58" s="3"/>
    </row>
    <row r="59" spans="1:59" ht="12.75" customHeight="1" x14ac:dyDescent="0.2">
      <c r="A59" s="44"/>
      <c r="B59" s="94" t="s">
        <v>82</v>
      </c>
      <c r="C59" s="45">
        <f>I59-M59</f>
        <v>-96</v>
      </c>
      <c r="D59" s="327">
        <f>IF(OR((C59/M59)&gt;3,(C59/M59)&lt;-3),"n.m.",(C59/M59))</f>
        <v>-1.7194748437248124E-3</v>
      </c>
      <c r="E59" s="359"/>
      <c r="F59" s="267">
        <f>+F35-F32-F33</f>
        <v>0</v>
      </c>
      <c r="G59" s="267">
        <f>+G35-G32-G33</f>
        <v>0</v>
      </c>
      <c r="H59" s="267">
        <f>+H35-H32-H33</f>
        <v>0</v>
      </c>
      <c r="I59" s="500">
        <f>+I35-I32-I33-1889</f>
        <v>55735</v>
      </c>
      <c r="J59" s="267">
        <f>+J35-J32-J33-2639</f>
        <v>62820</v>
      </c>
      <c r="K59" s="267">
        <f>+K35-K32-K33-2709</f>
        <v>63839</v>
      </c>
      <c r="L59" s="267">
        <f>+L35-L33-2660</f>
        <v>55218</v>
      </c>
      <c r="M59" s="500">
        <f>+M35-1705-998</f>
        <v>55831</v>
      </c>
      <c r="N59" s="267">
        <f>N35-N32-N33</f>
        <v>25244</v>
      </c>
      <c r="O59" s="267">
        <f>O35-O32</f>
        <v>13341</v>
      </c>
      <c r="P59" s="267">
        <f>P35</f>
        <v>13294</v>
      </c>
      <c r="Q59" s="255">
        <f>Q35</f>
        <v>14080</v>
      </c>
      <c r="R59" s="267">
        <f t="shared" ref="R59:BB59" si="37">R35</f>
        <v>25215</v>
      </c>
      <c r="S59" s="267">
        <f t="shared" si="37"/>
        <v>20384</v>
      </c>
      <c r="T59" s="267">
        <f t="shared" si="37"/>
        <v>16895</v>
      </c>
      <c r="U59" s="255">
        <f t="shared" si="37"/>
        <v>16054</v>
      </c>
      <c r="V59" s="267">
        <f t="shared" si="37"/>
        <v>19201</v>
      </c>
      <c r="W59" s="267">
        <f t="shared" si="37"/>
        <v>21966</v>
      </c>
      <c r="X59" s="267">
        <f t="shared" si="37"/>
        <v>14464</v>
      </c>
      <c r="Y59" s="255">
        <f t="shared" si="37"/>
        <v>17290</v>
      </c>
      <c r="Z59" s="267">
        <f t="shared" si="37"/>
        <v>0</v>
      </c>
      <c r="AA59" s="267">
        <f t="shared" si="37"/>
        <v>0</v>
      </c>
      <c r="AB59" s="267">
        <f t="shared" si="37"/>
        <v>0</v>
      </c>
      <c r="AC59" s="255">
        <f t="shared" si="37"/>
        <v>0</v>
      </c>
      <c r="AD59" s="163">
        <f t="shared" si="37"/>
        <v>0</v>
      </c>
      <c r="AE59" s="163">
        <f t="shared" si="37"/>
        <v>0</v>
      </c>
      <c r="AF59" s="163">
        <f t="shared" si="37"/>
        <v>0</v>
      </c>
      <c r="AG59" s="167">
        <f t="shared" si="37"/>
        <v>0</v>
      </c>
      <c r="AH59" s="132">
        <f t="shared" si="37"/>
        <v>0</v>
      </c>
      <c r="AI59" s="167">
        <f t="shared" si="37"/>
        <v>0</v>
      </c>
      <c r="AJ59" s="167">
        <f t="shared" si="37"/>
        <v>0</v>
      </c>
      <c r="AK59" s="167">
        <f t="shared" si="37"/>
        <v>0</v>
      </c>
      <c r="AL59" s="47"/>
      <c r="AM59" s="171">
        <f>SUM(K59:M59)</f>
        <v>174888</v>
      </c>
      <c r="AN59" s="183">
        <f>SUM(O59:Q59)</f>
        <v>40715</v>
      </c>
      <c r="AO59" s="183">
        <f>AR59-AS59</f>
        <v>171749</v>
      </c>
      <c r="AP59" s="449">
        <f>IF(OR((AO59/AS59)&gt;3,(AO59/AS59)&lt;-3),"n.m.",(AO59/AS59))</f>
        <v>2.6038751345532831</v>
      </c>
      <c r="AQ59" s="44"/>
      <c r="AR59" s="375">
        <f>SUM(J59:M59)</f>
        <v>237708</v>
      </c>
      <c r="AS59" s="375">
        <f>SUM(N59:Q59)</f>
        <v>65959</v>
      </c>
      <c r="AT59" s="375">
        <f t="shared" si="37"/>
        <v>78548</v>
      </c>
      <c r="AU59" s="121">
        <f t="shared" si="37"/>
        <v>72921</v>
      </c>
      <c r="AV59" s="121">
        <f>AV35-AV33-AV32</f>
        <v>69621</v>
      </c>
      <c r="AW59" s="132">
        <f t="shared" si="37"/>
        <v>88719</v>
      </c>
      <c r="AX59" s="132">
        <f t="shared" si="37"/>
        <v>98148</v>
      </c>
      <c r="AY59" s="37">
        <f t="shared" si="37"/>
        <v>83963</v>
      </c>
      <c r="AZ59" s="37">
        <f t="shared" si="37"/>
        <v>85664</v>
      </c>
      <c r="BA59" s="37">
        <f t="shared" si="37"/>
        <v>68575</v>
      </c>
      <c r="BB59" s="3">
        <f t="shared" si="37"/>
        <v>0</v>
      </c>
      <c r="BC59" s="3"/>
      <c r="BD59" s="3"/>
      <c r="BG59" s="3"/>
    </row>
    <row r="60" spans="1:59" ht="12.75" customHeight="1" x14ac:dyDescent="0.2">
      <c r="A60" s="44"/>
      <c r="B60" s="94" t="s">
        <v>74</v>
      </c>
      <c r="C60" s="100" t="e">
        <f>I60-M60</f>
        <v>#REF!</v>
      </c>
      <c r="D60" s="325" t="e">
        <f>IF(OR((C60/M60)&gt;3,(C60/M60)&lt;-3),"n.m.",(C60/M60))</f>
        <v>#REF!</v>
      </c>
      <c r="E60" s="359"/>
      <c r="F60" s="273" t="e">
        <f t="shared" ref="F60:M60" si="38">+F58-F59</f>
        <v>#REF!</v>
      </c>
      <c r="G60" s="273" t="e">
        <f t="shared" si="38"/>
        <v>#REF!</v>
      </c>
      <c r="H60" s="273" t="e">
        <f t="shared" si="38"/>
        <v>#REF!</v>
      </c>
      <c r="I60" s="256" t="e">
        <f t="shared" si="38"/>
        <v>#REF!</v>
      </c>
      <c r="J60" s="273" t="e">
        <f t="shared" si="38"/>
        <v>#REF!</v>
      </c>
      <c r="K60" s="273" t="e">
        <f t="shared" si="38"/>
        <v>#REF!</v>
      </c>
      <c r="L60" s="273" t="e">
        <f t="shared" si="38"/>
        <v>#REF!</v>
      </c>
      <c r="M60" s="256" t="e">
        <f t="shared" si="38"/>
        <v>#REF!</v>
      </c>
      <c r="N60" s="273" t="e">
        <f>N58-N59</f>
        <v>#REF!</v>
      </c>
      <c r="O60" s="273">
        <f>O58-O59</f>
        <v>-593</v>
      </c>
      <c r="P60" s="273">
        <f>P58-P59</f>
        <v>-3956</v>
      </c>
      <c r="Q60" s="256">
        <f>Q58-Q59</f>
        <v>-4834</v>
      </c>
      <c r="R60" s="273">
        <f t="shared" ref="R60:AX60" si="39">R58-R59</f>
        <v>9340</v>
      </c>
      <c r="S60" s="273">
        <f t="shared" si="39"/>
        <v>2955</v>
      </c>
      <c r="T60" s="273">
        <f t="shared" si="39"/>
        <v>1443</v>
      </c>
      <c r="U60" s="256">
        <f t="shared" si="39"/>
        <v>391</v>
      </c>
      <c r="V60" s="273">
        <f t="shared" si="39"/>
        <v>2132</v>
      </c>
      <c r="W60" s="273">
        <f t="shared" si="39"/>
        <v>4455</v>
      </c>
      <c r="X60" s="273">
        <f t="shared" si="39"/>
        <v>-689</v>
      </c>
      <c r="Y60" s="256">
        <f t="shared" si="39"/>
        <v>3635</v>
      </c>
      <c r="Z60" s="273">
        <f t="shared" si="39"/>
        <v>0</v>
      </c>
      <c r="AA60" s="273">
        <f t="shared" si="39"/>
        <v>0</v>
      </c>
      <c r="AB60" s="273">
        <f t="shared" si="39"/>
        <v>0</v>
      </c>
      <c r="AC60" s="256">
        <f t="shared" si="39"/>
        <v>0</v>
      </c>
      <c r="AD60" s="169">
        <f t="shared" si="39"/>
        <v>0</v>
      </c>
      <c r="AE60" s="169">
        <f t="shared" si="39"/>
        <v>0</v>
      </c>
      <c r="AF60" s="169">
        <f t="shared" si="39"/>
        <v>0</v>
      </c>
      <c r="AG60" s="170">
        <f t="shared" si="39"/>
        <v>0</v>
      </c>
      <c r="AH60" s="137">
        <f t="shared" si="39"/>
        <v>0</v>
      </c>
      <c r="AI60" s="170">
        <f t="shared" si="39"/>
        <v>0</v>
      </c>
      <c r="AJ60" s="170">
        <f t="shared" si="39"/>
        <v>0</v>
      </c>
      <c r="AK60" s="170">
        <f t="shared" si="39"/>
        <v>0</v>
      </c>
      <c r="AL60" s="47"/>
      <c r="AM60" s="179" t="e">
        <f>AM58-AM59</f>
        <v>#REF!</v>
      </c>
      <c r="AN60" s="243">
        <f>AN58-AN59</f>
        <v>-9383</v>
      </c>
      <c r="AO60" s="243" t="e">
        <f>AR60-AS60</f>
        <v>#REF!</v>
      </c>
      <c r="AP60" s="95" t="e">
        <f>-IF(OR((AO60/AS60)&gt;3,(AO60/AS60)&lt;-3),"n.m.",(AO60/AS60))</f>
        <v>#REF!</v>
      </c>
      <c r="AQ60" s="44"/>
      <c r="AR60" s="376" t="e">
        <f>SUM(J60:M60)</f>
        <v>#REF!</v>
      </c>
      <c r="AS60" s="376" t="e">
        <f>AS58-AS59</f>
        <v>#REF!</v>
      </c>
      <c r="AT60" s="376">
        <f t="shared" si="39"/>
        <v>14129</v>
      </c>
      <c r="AU60" s="131">
        <f t="shared" si="39"/>
        <v>9533</v>
      </c>
      <c r="AV60" s="131">
        <f t="shared" si="39"/>
        <v>3305</v>
      </c>
      <c r="AW60" s="137">
        <f t="shared" si="39"/>
        <v>29613</v>
      </c>
      <c r="AX60" s="137">
        <f t="shared" si="39"/>
        <v>31704</v>
      </c>
      <c r="AY60" s="105">
        <f>AY58-AY59</f>
        <v>41937</v>
      </c>
      <c r="AZ60" s="105">
        <f>AZ58-AZ59</f>
        <v>30426</v>
      </c>
      <c r="BA60" s="105">
        <f>BA58-BA59</f>
        <v>15914</v>
      </c>
      <c r="BB60" s="3"/>
      <c r="BC60" s="3"/>
      <c r="BD60" s="3"/>
      <c r="BG60" s="3"/>
    </row>
    <row r="61" spans="1:59" ht="12.75" customHeight="1" x14ac:dyDescent="0.2">
      <c r="A61" s="44"/>
      <c r="B61" s="94"/>
      <c r="C61" s="99"/>
      <c r="D61" s="9"/>
      <c r="E61" s="9"/>
      <c r="F61" s="267"/>
      <c r="G61" s="267"/>
      <c r="H61" s="267"/>
      <c r="I61" s="499"/>
      <c r="J61" s="267"/>
      <c r="K61" s="267"/>
      <c r="L61" s="267"/>
      <c r="M61" s="499"/>
      <c r="N61" s="267"/>
      <c r="O61" s="267"/>
      <c r="P61" s="267"/>
      <c r="Q61" s="238"/>
      <c r="R61" s="267"/>
      <c r="S61" s="267"/>
      <c r="T61" s="267"/>
      <c r="U61" s="238"/>
      <c r="V61" s="267"/>
      <c r="W61" s="267"/>
      <c r="X61" s="267"/>
      <c r="Y61" s="238"/>
      <c r="Z61" s="267"/>
      <c r="AA61" s="267"/>
      <c r="AB61" s="267"/>
      <c r="AC61" s="238"/>
      <c r="AD61" s="163"/>
      <c r="AE61" s="163"/>
      <c r="AF61" s="163"/>
      <c r="AG61" s="163"/>
      <c r="AH61" s="163"/>
      <c r="AI61" s="163"/>
      <c r="AJ61" s="163"/>
      <c r="AK61" s="163"/>
      <c r="AL61" s="94"/>
      <c r="AM61" s="94"/>
      <c r="AN61" s="94"/>
      <c r="AO61" s="391"/>
      <c r="AP61" s="374"/>
      <c r="AQ61" s="44"/>
      <c r="AR61" s="371"/>
      <c r="AS61" s="371"/>
      <c r="AT61" s="371"/>
      <c r="AU61" s="238"/>
      <c r="AV61" s="238"/>
      <c r="AW61" s="163"/>
      <c r="AX61" s="163"/>
      <c r="AY61" s="28"/>
      <c r="AZ61" s="28"/>
      <c r="BA61" s="28"/>
      <c r="BB61" s="3"/>
      <c r="BC61" s="3"/>
      <c r="BD61" s="3"/>
      <c r="BG61" s="3"/>
    </row>
    <row r="62" spans="1:59" ht="12.75" customHeight="1" x14ac:dyDescent="0.2">
      <c r="A62" s="10" t="s">
        <v>190</v>
      </c>
      <c r="B62" s="91"/>
      <c r="C62" s="94"/>
      <c r="D62" s="94"/>
      <c r="E62" s="94"/>
      <c r="F62" s="488"/>
      <c r="G62" s="488"/>
      <c r="H62" s="488"/>
      <c r="I62" s="488"/>
      <c r="J62" s="488"/>
      <c r="K62" s="488"/>
      <c r="L62" s="488"/>
      <c r="M62" s="488"/>
      <c r="N62" s="94"/>
      <c r="O62" s="94"/>
      <c r="P62" s="94"/>
      <c r="Q62" s="94"/>
      <c r="R62" s="94"/>
      <c r="S62" s="94"/>
      <c r="T62" s="94"/>
      <c r="U62" s="94"/>
      <c r="V62" s="94"/>
      <c r="W62" s="94"/>
      <c r="X62" s="94"/>
      <c r="Y62" s="94"/>
      <c r="Z62" s="268"/>
      <c r="AA62" s="94"/>
      <c r="AB62" s="94"/>
      <c r="AC62" s="94"/>
      <c r="AD62" s="94"/>
      <c r="AE62" s="94"/>
      <c r="AF62" s="94"/>
      <c r="AG62" s="6"/>
      <c r="AH62" s="94"/>
      <c r="AI62" s="6"/>
      <c r="AJ62" s="6"/>
      <c r="AK62" s="94"/>
      <c r="AL62" s="94"/>
      <c r="AM62" s="94"/>
      <c r="AN62" s="94"/>
      <c r="AO62" s="373"/>
      <c r="AP62" s="373"/>
      <c r="AQ62" s="94"/>
      <c r="AR62" s="373"/>
      <c r="AS62" s="373"/>
      <c r="AT62" s="373"/>
      <c r="AU62" s="94"/>
      <c r="AV62" s="94"/>
      <c r="AW62" s="94"/>
      <c r="AX62" s="94"/>
      <c r="AY62" s="28"/>
      <c r="AZ62" s="28"/>
      <c r="BA62" s="28"/>
      <c r="BB62" s="3"/>
      <c r="BC62" s="3"/>
      <c r="BD62" s="3"/>
      <c r="BG62" s="3"/>
    </row>
    <row r="63" spans="1:59" ht="12.75" customHeight="1" x14ac:dyDescent="0.2">
      <c r="C63" s="2493" t="s">
        <v>327</v>
      </c>
      <c r="D63" s="2494"/>
      <c r="E63" s="187"/>
      <c r="F63" s="276"/>
      <c r="G63" s="276"/>
      <c r="H63" s="276"/>
      <c r="I63" s="17"/>
      <c r="J63" s="276"/>
      <c r="K63" s="276"/>
      <c r="L63" s="276"/>
      <c r="M63" s="17"/>
      <c r="N63" s="15"/>
      <c r="O63" s="16"/>
      <c r="P63" s="276"/>
      <c r="Q63" s="17"/>
      <c r="R63" s="15"/>
      <c r="S63" s="16"/>
      <c r="T63" s="276"/>
      <c r="U63" s="17"/>
      <c r="V63" s="486"/>
      <c r="W63" s="16"/>
      <c r="X63" s="2"/>
      <c r="Y63" s="17"/>
      <c r="Z63" s="16"/>
      <c r="AA63" s="486"/>
      <c r="AB63" s="276"/>
      <c r="AC63" s="17"/>
      <c r="AD63" s="16"/>
      <c r="AE63" s="16"/>
      <c r="AF63" s="16"/>
      <c r="AG63" s="16"/>
      <c r="AH63" s="20"/>
      <c r="AI63" s="17"/>
      <c r="AJ63" s="17"/>
      <c r="AK63" s="17"/>
      <c r="AL63" s="22"/>
      <c r="AM63" s="450" t="s">
        <v>311</v>
      </c>
      <c r="AN63" s="438"/>
      <c r="AO63" s="438" t="s">
        <v>296</v>
      </c>
      <c r="AP63" s="439"/>
      <c r="AQ63" s="94"/>
      <c r="AR63" s="535"/>
      <c r="AS63" s="469"/>
      <c r="AT63" s="453"/>
      <c r="AU63" s="46"/>
      <c r="AV63" s="46"/>
      <c r="AW63" s="129"/>
      <c r="AX63" s="127"/>
      <c r="AY63" s="46"/>
      <c r="AZ63" s="28"/>
      <c r="BA63" s="28"/>
      <c r="BB63" s="23"/>
      <c r="BC63" s="3"/>
      <c r="BD63" s="3"/>
      <c r="BG63" s="3"/>
    </row>
    <row r="64" spans="1:59" ht="12.75" customHeight="1" x14ac:dyDescent="0.2">
      <c r="C64" s="2495" t="s">
        <v>39</v>
      </c>
      <c r="D64" s="2496"/>
      <c r="E64" s="358"/>
      <c r="F64" s="19" t="s">
        <v>330</v>
      </c>
      <c r="G64" s="19" t="s">
        <v>329</v>
      </c>
      <c r="H64" s="19" t="s">
        <v>328</v>
      </c>
      <c r="I64" s="12" t="s">
        <v>326</v>
      </c>
      <c r="J64" s="19" t="s">
        <v>282</v>
      </c>
      <c r="K64" s="19" t="s">
        <v>283</v>
      </c>
      <c r="L64" s="19" t="s">
        <v>284</v>
      </c>
      <c r="M64" s="12" t="s">
        <v>285</v>
      </c>
      <c r="N64" s="18" t="s">
        <v>220</v>
      </c>
      <c r="O64" s="19" t="s">
        <v>221</v>
      </c>
      <c r="P64" s="19" t="s">
        <v>222</v>
      </c>
      <c r="Q64" s="12" t="s">
        <v>219</v>
      </c>
      <c r="R64" s="18" t="s">
        <v>185</v>
      </c>
      <c r="S64" s="19" t="s">
        <v>186</v>
      </c>
      <c r="T64" s="19" t="s">
        <v>187</v>
      </c>
      <c r="U64" s="12" t="s">
        <v>188</v>
      </c>
      <c r="V64" s="19" t="s">
        <v>118</v>
      </c>
      <c r="W64" s="19" t="s">
        <v>117</v>
      </c>
      <c r="X64" s="19" t="s">
        <v>116</v>
      </c>
      <c r="Y64" s="12" t="s">
        <v>115</v>
      </c>
      <c r="Z64" s="19" t="s">
        <v>83</v>
      </c>
      <c r="AA64" s="19" t="s">
        <v>84</v>
      </c>
      <c r="AB64" s="19" t="s">
        <v>85</v>
      </c>
      <c r="AC64" s="12" t="s">
        <v>30</v>
      </c>
      <c r="AD64" s="19" t="s">
        <v>31</v>
      </c>
      <c r="AE64" s="19" t="s">
        <v>32</v>
      </c>
      <c r="AF64" s="19" t="s">
        <v>33</v>
      </c>
      <c r="AG64" s="19" t="s">
        <v>34</v>
      </c>
      <c r="AH64" s="21" t="s">
        <v>35</v>
      </c>
      <c r="AI64" s="12" t="s">
        <v>36</v>
      </c>
      <c r="AJ64" s="12" t="s">
        <v>37</v>
      </c>
      <c r="AK64" s="12" t="s">
        <v>38</v>
      </c>
      <c r="AL64" s="187"/>
      <c r="AM64" s="19" t="s">
        <v>283</v>
      </c>
      <c r="AN64" s="19" t="s">
        <v>221</v>
      </c>
      <c r="AO64" s="2497" t="s">
        <v>39</v>
      </c>
      <c r="AP64" s="2496"/>
      <c r="AQ64" s="94"/>
      <c r="AR64" s="161" t="s">
        <v>287</v>
      </c>
      <c r="AS64" s="161" t="s">
        <v>224</v>
      </c>
      <c r="AT64" s="161" t="s">
        <v>120</v>
      </c>
      <c r="AU64" s="18" t="s">
        <v>119</v>
      </c>
      <c r="AV64" s="18" t="s">
        <v>43</v>
      </c>
      <c r="AW64" s="18" t="s">
        <v>40</v>
      </c>
      <c r="AX64" s="21" t="s">
        <v>41</v>
      </c>
      <c r="AY64" s="21" t="s">
        <v>138</v>
      </c>
      <c r="AZ64" s="28"/>
      <c r="BA64" s="28"/>
      <c r="BB64" s="23"/>
      <c r="BC64" s="3"/>
      <c r="BD64" s="3"/>
      <c r="BG64" s="3"/>
    </row>
    <row r="65" spans="1:59" ht="12.75" customHeight="1" x14ac:dyDescent="0.2">
      <c r="A65" s="44"/>
      <c r="B65" s="6" t="s">
        <v>312</v>
      </c>
      <c r="C65" s="45">
        <f t="shared" ref="C65:C71" si="40">I65-M65</f>
        <v>5859</v>
      </c>
      <c r="D65" s="327">
        <f t="shared" ref="D65:D71" si="41">IF(OR((C65/M65)&gt;3,(C65/M65)&lt;-3),"n.m.",(C65/M65))</f>
        <v>0.20384802727715537</v>
      </c>
      <c r="E65" s="47"/>
      <c r="F65" s="183"/>
      <c r="G65" s="183"/>
      <c r="H65" s="183"/>
      <c r="I65" s="220">
        <v>34601</v>
      </c>
      <c r="J65" s="183">
        <f>38419-2686</f>
        <v>35733</v>
      </c>
      <c r="K65" s="183">
        <f>30571+2009</f>
        <v>32580</v>
      </c>
      <c r="L65" s="183">
        <f>27830+380</f>
        <v>28210</v>
      </c>
      <c r="M65" s="220">
        <f>28445+297</f>
        <v>28742</v>
      </c>
      <c r="N65" s="183">
        <v>5969</v>
      </c>
      <c r="O65" s="183">
        <v>2712</v>
      </c>
      <c r="P65" s="183">
        <v>3187</v>
      </c>
      <c r="Q65" s="220">
        <v>3355</v>
      </c>
      <c r="R65" s="183">
        <v>4877</v>
      </c>
      <c r="S65" s="183">
        <v>4800</v>
      </c>
      <c r="T65" s="183">
        <v>4288</v>
      </c>
      <c r="U65" s="220">
        <v>3624</v>
      </c>
      <c r="V65" s="183">
        <v>2939</v>
      </c>
      <c r="W65" s="183">
        <v>3598</v>
      </c>
      <c r="X65" s="183">
        <v>2710</v>
      </c>
      <c r="Y65" s="220">
        <v>2214</v>
      </c>
      <c r="Z65" s="183"/>
      <c r="AA65" s="183"/>
      <c r="AB65" s="220"/>
      <c r="AC65" s="220"/>
      <c r="AD65" s="255"/>
      <c r="AE65" s="94"/>
      <c r="AF65" s="94"/>
      <c r="AG65" s="6"/>
      <c r="AH65" s="94"/>
      <c r="AI65" s="6"/>
      <c r="AJ65" s="6"/>
      <c r="AK65" s="94"/>
      <c r="AL65" s="47"/>
      <c r="AM65" s="171">
        <f t="shared" ref="AM65:AM70" si="42">SUM(K65:M65)</f>
        <v>89532</v>
      </c>
      <c r="AN65" s="183">
        <f t="shared" ref="AN65:AN70" si="43">SUM(O65:Q65)</f>
        <v>9254</v>
      </c>
      <c r="AO65" s="183">
        <f t="shared" ref="AO65:AO71" si="44">AR65-AS65</f>
        <v>110042</v>
      </c>
      <c r="AP65" s="503" t="str">
        <f t="shared" ref="AP65:AP71" si="45">IF(OR((AO65/AS65)&gt;3,(AO65/AS65)&lt;-3),"n.m.",(AO65/AS65))</f>
        <v>n.m.</v>
      </c>
      <c r="AQ65" s="94"/>
      <c r="AR65" s="383">
        <f t="shared" ref="AR65:AR70" si="46">SUM(J65:M65)</f>
        <v>125265</v>
      </c>
      <c r="AS65" s="383">
        <f t="shared" ref="AS65:AS70" si="47">SUM(N65:Q65)</f>
        <v>15223</v>
      </c>
      <c r="AT65" s="378">
        <f t="shared" ref="AT65:AT70" si="48">SUM(R65:U65)</f>
        <v>17589</v>
      </c>
      <c r="AU65" s="37">
        <f t="shared" ref="AU65:AU70" si="49">SUM(V65:Y65)</f>
        <v>11461</v>
      </c>
      <c r="AV65" s="37">
        <v>10891</v>
      </c>
      <c r="AW65" s="37">
        <v>14557</v>
      </c>
      <c r="AX65" s="37">
        <v>11991</v>
      </c>
      <c r="AY65" s="37">
        <v>14929</v>
      </c>
      <c r="AZ65" s="28"/>
      <c r="BA65" s="28"/>
      <c r="BB65" s="23"/>
      <c r="BC65" s="3"/>
      <c r="BD65" s="3"/>
      <c r="BG65" s="3"/>
    </row>
    <row r="66" spans="1:59" ht="12.75" customHeight="1" x14ac:dyDescent="0.2">
      <c r="A66" s="44"/>
      <c r="B66" s="6" t="s">
        <v>62</v>
      </c>
      <c r="C66" s="45">
        <f t="shared" si="40"/>
        <v>1687</v>
      </c>
      <c r="D66" s="327">
        <f t="shared" si="41"/>
        <v>0.56782228205991248</v>
      </c>
      <c r="E66" s="47"/>
      <c r="F66" s="183"/>
      <c r="G66" s="183"/>
      <c r="H66" s="183"/>
      <c r="I66" s="220">
        <v>4658</v>
      </c>
      <c r="J66" s="183">
        <f>7552-268</f>
        <v>7284</v>
      </c>
      <c r="K66" s="183">
        <f>12466+150</f>
        <v>12616</v>
      </c>
      <c r="L66" s="183">
        <f>10921+86</f>
        <v>11007</v>
      </c>
      <c r="M66" s="220">
        <f>2939+32</f>
        <v>2971</v>
      </c>
      <c r="N66" s="183">
        <v>6836</v>
      </c>
      <c r="O66" s="183">
        <v>3072</v>
      </c>
      <c r="P66" s="183">
        <v>750</v>
      </c>
      <c r="Q66" s="220">
        <v>2299</v>
      </c>
      <c r="R66" s="183">
        <v>16817</v>
      </c>
      <c r="S66" s="183">
        <v>9429</v>
      </c>
      <c r="T66" s="183">
        <v>3477</v>
      </c>
      <c r="U66" s="220">
        <v>4849</v>
      </c>
      <c r="V66" s="183">
        <f>14020-V67</f>
        <v>11927</v>
      </c>
      <c r="W66" s="183">
        <f>16392-W67</f>
        <v>13190</v>
      </c>
      <c r="X66" s="183">
        <f>3925-X67</f>
        <v>1650</v>
      </c>
      <c r="Y66" s="220">
        <f>13214-Y67</f>
        <v>9027</v>
      </c>
      <c r="Z66" s="183"/>
      <c r="AA66" s="183"/>
      <c r="AB66" s="220"/>
      <c r="AC66" s="220"/>
      <c r="AD66" s="255"/>
      <c r="AE66" s="94"/>
      <c r="AF66" s="94"/>
      <c r="AG66" s="6"/>
      <c r="AH66" s="94"/>
      <c r="AI66" s="6"/>
      <c r="AJ66" s="6"/>
      <c r="AK66" s="94"/>
      <c r="AL66" s="47"/>
      <c r="AM66" s="171">
        <f t="shared" si="42"/>
        <v>26594</v>
      </c>
      <c r="AN66" s="183">
        <f t="shared" si="43"/>
        <v>6121</v>
      </c>
      <c r="AO66" s="183">
        <f t="shared" si="44"/>
        <v>20921</v>
      </c>
      <c r="AP66" s="449">
        <f t="shared" si="45"/>
        <v>1.6146484525738982</v>
      </c>
      <c r="AQ66" s="94"/>
      <c r="AR66" s="375">
        <f t="shared" si="46"/>
        <v>33878</v>
      </c>
      <c r="AS66" s="375">
        <f t="shared" si="47"/>
        <v>12957</v>
      </c>
      <c r="AT66" s="379">
        <f t="shared" si="48"/>
        <v>34572</v>
      </c>
      <c r="AU66" s="37">
        <f t="shared" si="49"/>
        <v>35794</v>
      </c>
      <c r="AV66" s="37">
        <f>48109-AV67</f>
        <v>26736</v>
      </c>
      <c r="AW66" s="37">
        <f>92703-AW67</f>
        <v>80789</v>
      </c>
      <c r="AX66" s="37">
        <f>104869-AX67</f>
        <v>99288</v>
      </c>
      <c r="AY66" s="37">
        <f>91128-3937</f>
        <v>87191</v>
      </c>
      <c r="AZ66" s="28"/>
      <c r="BA66" s="28"/>
      <c r="BB66" s="23"/>
      <c r="BC66" s="3"/>
      <c r="BD66" s="3"/>
      <c r="BG66" s="3"/>
    </row>
    <row r="67" spans="1:59" ht="12.75" customHeight="1" x14ac:dyDescent="0.2">
      <c r="A67" s="44"/>
      <c r="B67" s="6" t="s">
        <v>203</v>
      </c>
      <c r="C67" s="45">
        <f t="shared" si="40"/>
        <v>7037</v>
      </c>
      <c r="D67" s="327">
        <f t="shared" si="41"/>
        <v>0.48145867542419268</v>
      </c>
      <c r="E67" s="47"/>
      <c r="F67" s="183"/>
      <c r="G67" s="183"/>
      <c r="H67" s="183"/>
      <c r="I67" s="220">
        <v>21653</v>
      </c>
      <c r="J67" s="183">
        <v>19658</v>
      </c>
      <c r="K67" s="183">
        <v>16995</v>
      </c>
      <c r="L67" s="183">
        <v>13802</v>
      </c>
      <c r="M67" s="220">
        <v>14616</v>
      </c>
      <c r="N67" s="183">
        <v>5533</v>
      </c>
      <c r="O67" s="183">
        <v>4356</v>
      </c>
      <c r="P67" s="183">
        <v>3235</v>
      </c>
      <c r="Q67" s="220">
        <v>1470</v>
      </c>
      <c r="R67" s="183">
        <v>2671</v>
      </c>
      <c r="S67" s="183">
        <v>2437</v>
      </c>
      <c r="T67" s="183">
        <v>4055</v>
      </c>
      <c r="U67" s="220">
        <v>3085</v>
      </c>
      <c r="V67" s="183">
        <v>2093</v>
      </c>
      <c r="W67" s="183">
        <v>3202</v>
      </c>
      <c r="X67" s="183">
        <v>2275</v>
      </c>
      <c r="Y67" s="220">
        <v>4187</v>
      </c>
      <c r="Z67" s="183"/>
      <c r="AA67" s="183"/>
      <c r="AB67" s="220"/>
      <c r="AC67" s="220"/>
      <c r="AD67" s="255"/>
      <c r="AE67" s="94"/>
      <c r="AF67" s="94"/>
      <c r="AG67" s="6"/>
      <c r="AH67" s="94"/>
      <c r="AI67" s="6"/>
      <c r="AJ67" s="6"/>
      <c r="AK67" s="94"/>
      <c r="AL67" s="47"/>
      <c r="AM67" s="171">
        <f t="shared" si="42"/>
        <v>45413</v>
      </c>
      <c r="AN67" s="183">
        <f t="shared" si="43"/>
        <v>9061</v>
      </c>
      <c r="AO67" s="183">
        <f t="shared" si="44"/>
        <v>50477</v>
      </c>
      <c r="AP67" s="449" t="str">
        <f t="shared" si="45"/>
        <v>n.m.</v>
      </c>
      <c r="AQ67" s="94"/>
      <c r="AR67" s="375">
        <f t="shared" si="46"/>
        <v>65071</v>
      </c>
      <c r="AS67" s="375">
        <f t="shared" si="47"/>
        <v>14594</v>
      </c>
      <c r="AT67" s="379">
        <f t="shared" si="48"/>
        <v>12248</v>
      </c>
      <c r="AU67" s="37">
        <f t="shared" si="49"/>
        <v>11757</v>
      </c>
      <c r="AV67" s="37">
        <v>21373</v>
      </c>
      <c r="AW67" s="37">
        <v>11914</v>
      </c>
      <c r="AX67" s="37">
        <v>5581</v>
      </c>
      <c r="AY67" s="37">
        <v>3937</v>
      </c>
      <c r="AZ67" s="28"/>
      <c r="BA67" s="28"/>
      <c r="BB67" s="23"/>
      <c r="BC67" s="3"/>
      <c r="BD67" s="3"/>
      <c r="BG67" s="3"/>
    </row>
    <row r="68" spans="1:59" ht="12.75" customHeight="1" x14ac:dyDescent="0.2">
      <c r="A68" s="44"/>
      <c r="B68" s="6" t="s">
        <v>63</v>
      </c>
      <c r="C68" s="45">
        <f t="shared" si="40"/>
        <v>2895</v>
      </c>
      <c r="D68" s="327">
        <f t="shared" si="41"/>
        <v>1.1850184199754401</v>
      </c>
      <c r="E68" s="47"/>
      <c r="F68" s="183"/>
      <c r="G68" s="183"/>
      <c r="H68" s="183"/>
      <c r="I68" s="220">
        <v>5338</v>
      </c>
      <c r="J68" s="183">
        <v>8936</v>
      </c>
      <c r="K68" s="183">
        <v>6665</v>
      </c>
      <c r="L68" s="183">
        <v>6462</v>
      </c>
      <c r="M68" s="220">
        <v>2443</v>
      </c>
      <c r="N68" s="183">
        <v>3447</v>
      </c>
      <c r="O68" s="183">
        <v>2591</v>
      </c>
      <c r="P68" s="183">
        <v>2232</v>
      </c>
      <c r="Q68" s="220">
        <v>2173</v>
      </c>
      <c r="R68" s="183">
        <v>10213</v>
      </c>
      <c r="S68" s="183">
        <v>6662</v>
      </c>
      <c r="T68" s="183">
        <v>6583</v>
      </c>
      <c r="U68" s="220">
        <v>4874</v>
      </c>
      <c r="V68" s="183">
        <v>4132</v>
      </c>
      <c r="W68" s="183">
        <v>6480</v>
      </c>
      <c r="X68" s="183">
        <v>7104</v>
      </c>
      <c r="Y68" s="220">
        <v>5474</v>
      </c>
      <c r="Z68" s="183"/>
      <c r="AA68" s="183"/>
      <c r="AB68" s="220"/>
      <c r="AC68" s="220"/>
      <c r="AD68" s="255"/>
      <c r="AE68" s="94"/>
      <c r="AF68" s="94"/>
      <c r="AG68" s="6"/>
      <c r="AH68" s="94"/>
      <c r="AI68" s="6"/>
      <c r="AJ68" s="6"/>
      <c r="AK68" s="94"/>
      <c r="AL68" s="47"/>
      <c r="AM68" s="171">
        <f t="shared" si="42"/>
        <v>15570</v>
      </c>
      <c r="AN68" s="183">
        <f t="shared" si="43"/>
        <v>6996</v>
      </c>
      <c r="AO68" s="183">
        <f t="shared" si="44"/>
        <v>14063</v>
      </c>
      <c r="AP68" s="449">
        <f t="shared" si="45"/>
        <v>1.3466436847649144</v>
      </c>
      <c r="AQ68" s="94"/>
      <c r="AR68" s="375">
        <f t="shared" si="46"/>
        <v>24506</v>
      </c>
      <c r="AS68" s="375">
        <f t="shared" si="47"/>
        <v>10443</v>
      </c>
      <c r="AT68" s="379">
        <f t="shared" si="48"/>
        <v>28332</v>
      </c>
      <c r="AU68" s="37">
        <f t="shared" si="49"/>
        <v>23190</v>
      </c>
      <c r="AV68" s="37">
        <v>9476</v>
      </c>
      <c r="AW68" s="37">
        <v>4419</v>
      </c>
      <c r="AX68" s="37">
        <v>9630</v>
      </c>
      <c r="AY68" s="37">
        <v>16467</v>
      </c>
      <c r="AZ68" s="28"/>
      <c r="BA68" s="28"/>
      <c r="BB68" s="23"/>
      <c r="BC68" s="3"/>
      <c r="BD68" s="3"/>
      <c r="BG68" s="3"/>
    </row>
    <row r="69" spans="1:59" ht="12.75" customHeight="1" x14ac:dyDescent="0.2">
      <c r="A69" s="44"/>
      <c r="B69" s="6" t="s">
        <v>64</v>
      </c>
      <c r="C69" s="45">
        <f t="shared" si="40"/>
        <v>475</v>
      </c>
      <c r="D69" s="327">
        <f t="shared" si="41"/>
        <v>1.9076305220883534</v>
      </c>
      <c r="E69" s="47"/>
      <c r="F69" s="183"/>
      <c r="G69" s="183"/>
      <c r="H69" s="183"/>
      <c r="I69" s="220">
        <v>724</v>
      </c>
      <c r="J69" s="183">
        <v>781</v>
      </c>
      <c r="K69" s="183">
        <v>356</v>
      </c>
      <c r="L69" s="183">
        <f>557-322</f>
        <v>235</v>
      </c>
      <c r="M69" s="220">
        <v>249</v>
      </c>
      <c r="N69" s="183">
        <v>30</v>
      </c>
      <c r="O69" s="183">
        <v>0</v>
      </c>
      <c r="P69" s="183">
        <v>3</v>
      </c>
      <c r="Q69" s="220">
        <v>3</v>
      </c>
      <c r="R69" s="183">
        <v>15</v>
      </c>
      <c r="S69" s="183">
        <v>3</v>
      </c>
      <c r="T69" s="183">
        <v>4</v>
      </c>
      <c r="U69" s="220">
        <v>3</v>
      </c>
      <c r="V69" s="183">
        <v>21</v>
      </c>
      <c r="W69" s="183">
        <v>12</v>
      </c>
      <c r="X69" s="183">
        <v>17</v>
      </c>
      <c r="Y69" s="220">
        <v>44</v>
      </c>
      <c r="Z69" s="183"/>
      <c r="AA69" s="183"/>
      <c r="AB69" s="220"/>
      <c r="AC69" s="220"/>
      <c r="AD69" s="255"/>
      <c r="AE69" s="94"/>
      <c r="AF69" s="94"/>
      <c r="AG69" s="6"/>
      <c r="AH69" s="94"/>
      <c r="AI69" s="6"/>
      <c r="AJ69" s="6"/>
      <c r="AK69" s="94"/>
      <c r="AL69" s="47"/>
      <c r="AM69" s="171">
        <f t="shared" si="42"/>
        <v>840</v>
      </c>
      <c r="AN69" s="183">
        <f t="shared" si="43"/>
        <v>6</v>
      </c>
      <c r="AO69" s="183">
        <f t="shared" si="44"/>
        <v>1585</v>
      </c>
      <c r="AP69" s="449" t="str">
        <f t="shared" si="45"/>
        <v>n.m.</v>
      </c>
      <c r="AQ69" s="94"/>
      <c r="AR69" s="375">
        <f t="shared" si="46"/>
        <v>1621</v>
      </c>
      <c r="AS69" s="375">
        <f t="shared" si="47"/>
        <v>36</v>
      </c>
      <c r="AT69" s="379">
        <f t="shared" si="48"/>
        <v>25</v>
      </c>
      <c r="AU69" s="37">
        <f t="shared" si="49"/>
        <v>94</v>
      </c>
      <c r="AV69" s="37">
        <v>2226</v>
      </c>
      <c r="AW69" s="37">
        <v>3339</v>
      </c>
      <c r="AX69" s="37">
        <v>3835</v>
      </c>
      <c r="AY69" s="37">
        <v>2491</v>
      </c>
      <c r="AZ69" s="28"/>
      <c r="BA69" s="28"/>
      <c r="BB69" s="23"/>
      <c r="BC69" s="3"/>
      <c r="BD69" s="3"/>
      <c r="BG69" s="3"/>
    </row>
    <row r="70" spans="1:59" ht="12.75" customHeight="1" x14ac:dyDescent="0.2">
      <c r="A70" s="126"/>
      <c r="B70" s="6" t="s">
        <v>65</v>
      </c>
      <c r="C70" s="45">
        <f t="shared" si="40"/>
        <v>707</v>
      </c>
      <c r="D70" s="327" t="str">
        <f t="shared" si="41"/>
        <v>n.m.</v>
      </c>
      <c r="E70" s="360"/>
      <c r="F70" s="243"/>
      <c r="G70" s="243"/>
      <c r="H70" s="243"/>
      <c r="I70" s="220">
        <v>493</v>
      </c>
      <c r="J70" s="243">
        <f>-3088+2686+268</f>
        <v>-134</v>
      </c>
      <c r="K70" s="243">
        <f>1987-2009-150</f>
        <v>-172</v>
      </c>
      <c r="L70" s="243">
        <f>456-380-86</f>
        <v>-10</v>
      </c>
      <c r="M70" s="220">
        <f>115-297-32</f>
        <v>-214</v>
      </c>
      <c r="N70" s="183">
        <v>33</v>
      </c>
      <c r="O70" s="243">
        <v>17</v>
      </c>
      <c r="P70" s="243">
        <v>-69</v>
      </c>
      <c r="Q70" s="220">
        <v>-54</v>
      </c>
      <c r="R70" s="183">
        <v>-38</v>
      </c>
      <c r="S70" s="243">
        <v>8</v>
      </c>
      <c r="T70" s="183">
        <v>-69</v>
      </c>
      <c r="U70" s="220">
        <v>10</v>
      </c>
      <c r="V70" s="183">
        <v>221</v>
      </c>
      <c r="W70" s="243">
        <v>-61</v>
      </c>
      <c r="X70" s="183">
        <v>19</v>
      </c>
      <c r="Y70" s="220">
        <v>-21</v>
      </c>
      <c r="Z70" s="183"/>
      <c r="AA70" s="243"/>
      <c r="AB70" s="220"/>
      <c r="AC70" s="220"/>
      <c r="AD70" s="256"/>
      <c r="AE70" s="13"/>
      <c r="AF70" s="13"/>
      <c r="AG70" s="13"/>
      <c r="AH70" s="13"/>
      <c r="AI70" s="13"/>
      <c r="AJ70" s="13"/>
      <c r="AK70" s="13"/>
      <c r="AL70" s="47"/>
      <c r="AM70" s="171">
        <f t="shared" si="42"/>
        <v>-396</v>
      </c>
      <c r="AN70" s="183">
        <f t="shared" si="43"/>
        <v>-106</v>
      </c>
      <c r="AO70" s="183">
        <f t="shared" si="44"/>
        <v>-457</v>
      </c>
      <c r="AP70" s="449" t="str">
        <f t="shared" si="45"/>
        <v>n.m.</v>
      </c>
      <c r="AQ70" s="44"/>
      <c r="AR70" s="375">
        <f t="shared" si="46"/>
        <v>-530</v>
      </c>
      <c r="AS70" s="375">
        <f t="shared" si="47"/>
        <v>-73</v>
      </c>
      <c r="AT70" s="380">
        <f t="shared" si="48"/>
        <v>-89</v>
      </c>
      <c r="AU70" s="37">
        <f t="shared" si="49"/>
        <v>158</v>
      </c>
      <c r="AV70" s="37">
        <v>2224</v>
      </c>
      <c r="AW70" s="37">
        <v>3314</v>
      </c>
      <c r="AX70" s="37">
        <v>-473</v>
      </c>
      <c r="AY70" s="37">
        <v>885</v>
      </c>
      <c r="AZ70" s="28"/>
      <c r="BA70" s="28"/>
      <c r="BB70" s="23"/>
      <c r="BC70" s="3"/>
      <c r="BD70" s="3"/>
      <c r="BG70" s="3"/>
    </row>
    <row r="71" spans="1:59" ht="12.75" customHeight="1" x14ac:dyDescent="0.2">
      <c r="A71" s="126"/>
      <c r="B71" s="6"/>
      <c r="C71" s="341">
        <f t="shared" si="40"/>
        <v>18660</v>
      </c>
      <c r="D71" s="466">
        <f t="shared" si="41"/>
        <v>0.3823222078800172</v>
      </c>
      <c r="E71" s="22"/>
      <c r="F71" s="241">
        <f>SUM(F65:F70)</f>
        <v>0</v>
      </c>
      <c r="G71" s="241">
        <f>SUM(G65:G70)</f>
        <v>0</v>
      </c>
      <c r="H71" s="241">
        <f>SUM(H65:H70)</f>
        <v>0</v>
      </c>
      <c r="I71" s="344">
        <f>SUM(I65:I70)</f>
        <v>67467</v>
      </c>
      <c r="J71" s="241">
        <f t="shared" ref="J71:Q71" si="50">SUM(J65:J70)</f>
        <v>72258</v>
      </c>
      <c r="K71" s="241">
        <f t="shared" si="50"/>
        <v>69040</v>
      </c>
      <c r="L71" s="241">
        <f t="shared" si="50"/>
        <v>59706</v>
      </c>
      <c r="M71" s="344">
        <f t="shared" si="50"/>
        <v>48807</v>
      </c>
      <c r="N71" s="241">
        <f t="shared" si="50"/>
        <v>21848</v>
      </c>
      <c r="O71" s="241">
        <f t="shared" si="50"/>
        <v>12748</v>
      </c>
      <c r="P71" s="241">
        <f t="shared" si="50"/>
        <v>9338</v>
      </c>
      <c r="Q71" s="344">
        <f t="shared" si="50"/>
        <v>9246</v>
      </c>
      <c r="R71" s="241">
        <f t="shared" ref="R71:AX71" si="51">SUM(R65:R70)</f>
        <v>34555</v>
      </c>
      <c r="S71" s="241">
        <f t="shared" si="51"/>
        <v>23339</v>
      </c>
      <c r="T71" s="241">
        <f t="shared" si="51"/>
        <v>18338</v>
      </c>
      <c r="U71" s="344">
        <f t="shared" si="51"/>
        <v>16445</v>
      </c>
      <c r="V71" s="241">
        <f t="shared" si="51"/>
        <v>21333</v>
      </c>
      <c r="W71" s="241">
        <f t="shared" si="51"/>
        <v>26421</v>
      </c>
      <c r="X71" s="241">
        <f t="shared" si="51"/>
        <v>13775</v>
      </c>
      <c r="Y71" s="344">
        <f t="shared" si="51"/>
        <v>20925</v>
      </c>
      <c r="Z71" s="240">
        <f t="shared" si="51"/>
        <v>0</v>
      </c>
      <c r="AA71" s="241">
        <f t="shared" si="51"/>
        <v>0</v>
      </c>
      <c r="AB71" s="344">
        <f t="shared" si="51"/>
        <v>0</v>
      </c>
      <c r="AC71" s="344">
        <f t="shared" si="51"/>
        <v>0</v>
      </c>
      <c r="AD71" s="344">
        <f t="shared" si="51"/>
        <v>0</v>
      </c>
      <c r="AE71" s="2">
        <f t="shared" si="51"/>
        <v>0</v>
      </c>
      <c r="AF71" s="2">
        <f t="shared" si="51"/>
        <v>0</v>
      </c>
      <c r="AG71" s="2">
        <f t="shared" si="51"/>
        <v>0</v>
      </c>
      <c r="AH71" s="2">
        <f t="shared" si="51"/>
        <v>0</v>
      </c>
      <c r="AI71" s="2">
        <f t="shared" si="51"/>
        <v>0</v>
      </c>
      <c r="AJ71" s="2">
        <f t="shared" si="51"/>
        <v>0</v>
      </c>
      <c r="AK71" s="2">
        <f t="shared" si="51"/>
        <v>0</v>
      </c>
      <c r="AL71" s="22"/>
      <c r="AM71" s="460">
        <f>SUM(AM65:AM70)</f>
        <v>177553</v>
      </c>
      <c r="AN71" s="346">
        <f>SUM(AN65:AN70)</f>
        <v>31332</v>
      </c>
      <c r="AO71" s="239">
        <f t="shared" si="44"/>
        <v>196631</v>
      </c>
      <c r="AP71" s="114" t="str">
        <f t="shared" si="45"/>
        <v>n.m.</v>
      </c>
      <c r="AR71" s="381">
        <f t="shared" si="51"/>
        <v>249811</v>
      </c>
      <c r="AS71" s="381">
        <f t="shared" si="51"/>
        <v>53180</v>
      </c>
      <c r="AT71" s="381">
        <f t="shared" si="51"/>
        <v>92677</v>
      </c>
      <c r="AU71" s="240">
        <f t="shared" si="51"/>
        <v>82454</v>
      </c>
      <c r="AV71" s="343">
        <f t="shared" si="51"/>
        <v>72926</v>
      </c>
      <c r="AW71" s="346">
        <f t="shared" si="51"/>
        <v>118332</v>
      </c>
      <c r="AX71" s="347">
        <f t="shared" si="51"/>
        <v>129852</v>
      </c>
      <c r="AY71" s="116">
        <f>SUM(AY65:AY70)</f>
        <v>125900</v>
      </c>
      <c r="AZ71" s="28"/>
      <c r="BA71" s="28"/>
      <c r="BB71" s="23"/>
      <c r="BC71" s="3"/>
      <c r="BD71" s="3"/>
      <c r="BG71" s="3"/>
    </row>
    <row r="72" spans="1:59" s="485" customFormat="1" ht="12.75" customHeight="1" x14ac:dyDescent="0.2">
      <c r="A72" s="126"/>
      <c r="B72" s="6"/>
      <c r="C72" s="265"/>
      <c r="D72" s="250"/>
      <c r="E72" s="22"/>
      <c r="F72" s="248"/>
      <c r="G72" s="248"/>
      <c r="H72" s="248"/>
      <c r="I72" s="429"/>
      <c r="J72" s="248"/>
      <c r="K72" s="248"/>
      <c r="L72" s="248"/>
      <c r="M72" s="429"/>
      <c r="N72" s="159"/>
      <c r="O72" s="248"/>
      <c r="P72" s="248"/>
      <c r="Q72" s="429"/>
      <c r="R72" s="159"/>
      <c r="S72" s="248"/>
      <c r="T72" s="248"/>
      <c r="U72" s="429"/>
      <c r="V72" s="159"/>
      <c r="W72" s="429"/>
      <c r="X72" s="429"/>
      <c r="Y72" s="429"/>
      <c r="Z72" s="499"/>
      <c r="AA72" s="499"/>
      <c r="AB72" s="499"/>
      <c r="AC72" s="499"/>
      <c r="AD72" s="499"/>
      <c r="AE72" s="2"/>
      <c r="AF72" s="2"/>
      <c r="AG72" s="2"/>
      <c r="AH72" s="2"/>
      <c r="AI72" s="2"/>
      <c r="AJ72" s="2"/>
      <c r="AK72" s="2"/>
      <c r="AL72" s="22"/>
      <c r="AM72" s="15"/>
      <c r="AN72" s="16"/>
      <c r="AO72" s="445"/>
      <c r="AP72" s="316"/>
      <c r="AR72" s="430"/>
      <c r="AS72" s="430"/>
      <c r="AT72" s="430"/>
      <c r="AU72" s="430"/>
      <c r="AV72" s="287"/>
      <c r="AW72" s="430"/>
      <c r="AX72" s="430"/>
      <c r="AY72" s="493"/>
      <c r="AZ72" s="490"/>
      <c r="BA72" s="490"/>
      <c r="BB72" s="23"/>
    </row>
    <row r="73" spans="1:59" s="485" customFormat="1" ht="13.5" customHeight="1" x14ac:dyDescent="0.2">
      <c r="A73" s="126"/>
      <c r="B73" s="6" t="s">
        <v>297</v>
      </c>
      <c r="C73" s="100">
        <f>I73-M73</f>
        <v>190</v>
      </c>
      <c r="D73" s="325" t="s">
        <v>42</v>
      </c>
      <c r="E73" s="22"/>
      <c r="F73" s="523"/>
      <c r="G73" s="523"/>
      <c r="H73" s="523"/>
      <c r="I73" s="568">
        <v>0</v>
      </c>
      <c r="J73" s="523">
        <v>-276</v>
      </c>
      <c r="K73" s="523">
        <v>-520</v>
      </c>
      <c r="L73" s="523">
        <v>0</v>
      </c>
      <c r="M73" s="256">
        <v>-190</v>
      </c>
      <c r="N73" s="281">
        <v>0</v>
      </c>
      <c r="O73" s="523">
        <v>0</v>
      </c>
      <c r="P73" s="523">
        <v>0</v>
      </c>
      <c r="Q73" s="524">
        <v>0</v>
      </c>
      <c r="R73" s="281">
        <v>0</v>
      </c>
      <c r="S73" s="523">
        <v>0</v>
      </c>
      <c r="T73" s="523">
        <v>0</v>
      </c>
      <c r="U73" s="524">
        <v>0</v>
      </c>
      <c r="V73" s="431" t="s">
        <v>177</v>
      </c>
      <c r="W73" s="432" t="s">
        <v>177</v>
      </c>
      <c r="X73" s="432" t="s">
        <v>177</v>
      </c>
      <c r="Y73" s="432" t="s">
        <v>177</v>
      </c>
      <c r="Z73" s="433"/>
      <c r="AA73" s="433"/>
      <c r="AB73" s="433"/>
      <c r="AC73" s="433"/>
      <c r="AD73" s="433"/>
      <c r="AE73" s="434"/>
      <c r="AF73" s="434"/>
      <c r="AG73" s="434"/>
      <c r="AH73" s="434"/>
      <c r="AI73" s="434"/>
      <c r="AJ73" s="434"/>
      <c r="AK73" s="434"/>
      <c r="AL73" s="518"/>
      <c r="AM73" s="158">
        <f>SUM(K73:M73)</f>
        <v>-710</v>
      </c>
      <c r="AN73" s="523">
        <f>SUM(O73:Q73)</f>
        <v>0</v>
      </c>
      <c r="AO73" s="523">
        <f>AR73-AS73</f>
        <v>-986</v>
      </c>
      <c r="AP73" s="325" t="s">
        <v>42</v>
      </c>
      <c r="AQ73" s="55"/>
      <c r="AR73" s="525">
        <f>SUM(J73:M73)</f>
        <v>-986</v>
      </c>
      <c r="AS73" s="525">
        <f>SUM(N73:Q73)</f>
        <v>0</v>
      </c>
      <c r="AT73" s="525">
        <f>SUM(R73:U73)</f>
        <v>0</v>
      </c>
      <c r="AU73" s="435" t="s">
        <v>177</v>
      </c>
      <c r="AV73" s="436" t="s">
        <v>177</v>
      </c>
      <c r="AW73" s="435" t="s">
        <v>177</v>
      </c>
      <c r="AX73" s="435" t="s">
        <v>177</v>
      </c>
      <c r="AY73" s="493"/>
      <c r="AZ73" s="490"/>
      <c r="BA73" s="490"/>
    </row>
    <row r="74" spans="1:59" ht="12.75" customHeight="1" x14ac:dyDescent="0.2">
      <c r="B74" s="11"/>
      <c r="C74" s="184"/>
      <c r="D74" s="184"/>
      <c r="E74" s="184"/>
      <c r="F74" s="184"/>
      <c r="G74" s="184"/>
      <c r="H74" s="184"/>
      <c r="I74" s="2"/>
      <c r="J74" s="184"/>
      <c r="K74" s="184"/>
      <c r="L74" s="184"/>
      <c r="M74" s="2"/>
      <c r="N74" s="184"/>
      <c r="O74" s="184"/>
      <c r="P74" s="184"/>
      <c r="Q74" s="2"/>
      <c r="R74" s="184"/>
      <c r="S74" s="184"/>
      <c r="T74" s="184"/>
      <c r="U74" s="2"/>
      <c r="V74" s="184"/>
      <c r="W74" s="184"/>
      <c r="X74" s="184"/>
      <c r="Y74" s="2"/>
      <c r="Z74" s="184"/>
      <c r="AA74" s="184"/>
      <c r="AB74" s="184"/>
      <c r="AC74" s="2"/>
      <c r="AG74" s="2"/>
      <c r="AI74" s="2"/>
      <c r="AJ74" s="2"/>
      <c r="AK74" s="185"/>
      <c r="AL74" s="172"/>
      <c r="AM74" s="172"/>
      <c r="AN74" s="172"/>
      <c r="AO74" s="172"/>
      <c r="AP74" s="172"/>
      <c r="AQ74" s="174"/>
      <c r="AR74" s="172"/>
      <c r="AS74" s="172"/>
      <c r="AT74" s="172"/>
      <c r="AU74" s="174"/>
      <c r="AV74" s="174"/>
      <c r="BB74" s="3"/>
      <c r="BC74" s="3"/>
      <c r="BD74" s="3"/>
    </row>
    <row r="75" spans="1:59" x14ac:dyDescent="0.2">
      <c r="A75" s="6" t="s">
        <v>28</v>
      </c>
    </row>
    <row r="76" spans="1:59" ht="4.5" customHeight="1" x14ac:dyDescent="0.2">
      <c r="C76" s="44"/>
      <c r="D76" s="44"/>
      <c r="E76" s="94"/>
      <c r="F76" s="493"/>
      <c r="G76" s="493"/>
      <c r="H76" s="493"/>
      <c r="I76" s="493"/>
      <c r="J76" s="493"/>
      <c r="K76" s="493"/>
      <c r="L76" s="493"/>
      <c r="M76" s="49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382"/>
      <c r="AP76" s="382"/>
      <c r="AQ76" s="143"/>
      <c r="AR76" s="382"/>
      <c r="AS76" s="382"/>
      <c r="AT76" s="382"/>
      <c r="AU76" s="143"/>
      <c r="AV76" s="143"/>
      <c r="AW76" s="143"/>
      <c r="AX76" s="143"/>
      <c r="AY76" s="143"/>
      <c r="BB76" s="3"/>
      <c r="BC76" s="3"/>
      <c r="BD76" s="3"/>
    </row>
    <row r="77" spans="1:59" x14ac:dyDescent="0.2">
      <c r="A77" s="6" t="s">
        <v>310</v>
      </c>
      <c r="B77" s="3"/>
      <c r="C77" s="172"/>
      <c r="D77" s="172"/>
      <c r="E77" s="172"/>
      <c r="F77" s="29"/>
      <c r="G77" s="29"/>
      <c r="H77" s="29"/>
      <c r="I77" s="29"/>
      <c r="J77" s="29"/>
      <c r="K77" s="29"/>
      <c r="L77" s="29"/>
      <c r="M77" s="29"/>
      <c r="N77" s="29"/>
      <c r="O77" s="29"/>
      <c r="P77" s="29"/>
      <c r="Q77" s="29"/>
      <c r="R77" s="29"/>
      <c r="S77" s="29"/>
      <c r="T77" s="29"/>
    </row>
    <row r="78" spans="1:59" x14ac:dyDescent="0.2">
      <c r="C78" s="44"/>
      <c r="D78" s="44"/>
      <c r="E78" s="94"/>
      <c r="F78" s="488"/>
      <c r="G78" s="488"/>
      <c r="H78" s="488"/>
      <c r="I78" s="485"/>
      <c r="J78" s="488"/>
      <c r="K78" s="488"/>
      <c r="L78" s="488"/>
      <c r="M78" s="485"/>
      <c r="N78" s="94"/>
      <c r="O78" s="94"/>
      <c r="P78" s="94"/>
      <c r="Q78" s="412"/>
      <c r="R78" s="94"/>
      <c r="S78" s="94"/>
      <c r="T78" s="94"/>
      <c r="U78" s="412"/>
      <c r="V78" s="94"/>
      <c r="W78" s="94"/>
      <c r="X78" s="94"/>
      <c r="Y78" s="412"/>
      <c r="Z78" s="94"/>
      <c r="AA78" s="94"/>
      <c r="AB78" s="94"/>
      <c r="AK78" s="28"/>
      <c r="AL78" s="94"/>
      <c r="AM78" s="94"/>
      <c r="AN78" s="94"/>
      <c r="AO78" s="183"/>
      <c r="AP78" s="513"/>
      <c r="AQ78" s="488"/>
      <c r="AR78" s="395"/>
      <c r="AS78" s="395"/>
      <c r="AT78" s="373"/>
      <c r="AU78" s="488"/>
      <c r="AV78" s="488"/>
      <c r="AW78" s="486"/>
      <c r="AX78" s="512"/>
      <c r="AY78" s="486"/>
      <c r="AZ78" s="486"/>
      <c r="BA78" s="486"/>
      <c r="BB78" s="486"/>
      <c r="BC78" s="486"/>
      <c r="BD78" s="486"/>
      <c r="BE78" s="486"/>
    </row>
    <row r="79" spans="1:59" x14ac:dyDescent="0.2">
      <c r="C79" s="44"/>
      <c r="D79" s="44"/>
      <c r="E79" s="94"/>
      <c r="F79" s="488"/>
      <c r="G79" s="488"/>
      <c r="H79" s="488"/>
      <c r="I79" s="485"/>
      <c r="J79" s="488"/>
      <c r="K79" s="488"/>
      <c r="L79" s="488"/>
      <c r="M79" s="485"/>
      <c r="N79" s="94"/>
      <c r="O79" s="94"/>
      <c r="P79" s="94"/>
      <c r="Q79" s="412"/>
      <c r="R79" s="94"/>
      <c r="S79" s="94"/>
      <c r="T79" s="94"/>
      <c r="U79" s="412"/>
      <c r="V79" s="94"/>
      <c r="W79" s="94"/>
      <c r="X79" s="94"/>
      <c r="Y79" s="412"/>
      <c r="Z79" s="94"/>
      <c r="AA79" s="94"/>
      <c r="AB79" s="94"/>
      <c r="AK79" s="28"/>
      <c r="AL79" s="94"/>
      <c r="AM79" s="94"/>
      <c r="AN79" s="94"/>
      <c r="AO79" s="373"/>
      <c r="AP79" s="373"/>
      <c r="AQ79" s="488"/>
      <c r="AR79" s="395"/>
      <c r="AS79" s="395"/>
      <c r="AT79" s="373"/>
      <c r="AU79" s="488"/>
      <c r="AV79" s="488"/>
      <c r="AW79" s="486"/>
      <c r="AX79" s="6"/>
      <c r="AY79" s="486"/>
      <c r="AZ79" s="486"/>
      <c r="BA79" s="486"/>
      <c r="BB79" s="486"/>
      <c r="BC79" s="486"/>
      <c r="BD79" s="486"/>
      <c r="BE79" s="486"/>
    </row>
    <row r="80" spans="1:59" x14ac:dyDescent="0.2">
      <c r="I80" s="485"/>
      <c r="M80" s="485"/>
      <c r="Q80" s="412"/>
      <c r="U80" s="412"/>
      <c r="Y80" s="412"/>
      <c r="AK80" s="9"/>
      <c r="AL80" s="3"/>
      <c r="AM80" s="3"/>
      <c r="AN80" s="3"/>
      <c r="AO80" s="262"/>
      <c r="AP80" s="513"/>
      <c r="AQ80" s="486"/>
      <c r="AR80" s="540"/>
      <c r="AS80" s="540"/>
      <c r="AT80" s="369"/>
      <c r="AU80" s="486"/>
      <c r="AV80" s="486"/>
      <c r="AW80" s="486"/>
      <c r="AX80" s="29"/>
      <c r="AY80" s="486"/>
      <c r="AZ80" s="512"/>
      <c r="BA80" s="486"/>
      <c r="BB80" s="486"/>
      <c r="BC80" s="486"/>
      <c r="BD80" s="486"/>
      <c r="BE80" s="486"/>
    </row>
    <row r="81" spans="9:57" x14ac:dyDescent="0.2">
      <c r="I81" s="485"/>
      <c r="M81" s="485"/>
      <c r="Q81" s="412"/>
      <c r="U81" s="412"/>
      <c r="Y81" s="412"/>
      <c r="AK81" s="30"/>
      <c r="AL81" s="3"/>
      <c r="AM81" s="3"/>
      <c r="AN81" s="3"/>
      <c r="AO81" s="369"/>
      <c r="AP81" s="369"/>
      <c r="AQ81" s="486"/>
      <c r="AR81" s="369"/>
      <c r="AS81" s="369"/>
      <c r="AT81" s="369"/>
      <c r="AU81" s="486"/>
      <c r="AV81" s="486"/>
      <c r="AW81" s="486"/>
      <c r="AX81" s="2"/>
      <c r="AY81" s="486"/>
      <c r="AZ81" s="29"/>
      <c r="BA81" s="486"/>
      <c r="BB81" s="486"/>
      <c r="BC81" s="486"/>
      <c r="BD81" s="486"/>
      <c r="BE81" s="486"/>
    </row>
    <row r="82" spans="9:57" x14ac:dyDescent="0.2">
      <c r="I82" s="485"/>
      <c r="M82" s="485"/>
      <c r="Q82" s="412"/>
      <c r="U82" s="29">
        <f t="shared" ref="U82:AK82" si="52">U71-U16</f>
        <v>0</v>
      </c>
      <c r="V82" s="29">
        <f t="shared" si="52"/>
        <v>0</v>
      </c>
      <c r="W82" s="29">
        <f t="shared" si="52"/>
        <v>0</v>
      </c>
      <c r="X82" s="29">
        <f t="shared" si="52"/>
        <v>0</v>
      </c>
      <c r="Y82" s="29">
        <f t="shared" si="52"/>
        <v>0</v>
      </c>
      <c r="Z82" s="29">
        <f t="shared" si="52"/>
        <v>0</v>
      </c>
      <c r="AA82" s="29">
        <f t="shared" si="52"/>
        <v>0</v>
      </c>
      <c r="AB82" s="29">
        <f t="shared" si="52"/>
        <v>0</v>
      </c>
      <c r="AC82" s="29">
        <f t="shared" si="52"/>
        <v>0</v>
      </c>
      <c r="AD82" s="29">
        <f t="shared" si="52"/>
        <v>0</v>
      </c>
      <c r="AE82" s="29">
        <f t="shared" si="52"/>
        <v>0</v>
      </c>
      <c r="AF82" s="29">
        <f t="shared" si="52"/>
        <v>0</v>
      </c>
      <c r="AG82" s="29">
        <f t="shared" si="52"/>
        <v>0</v>
      </c>
      <c r="AH82" s="29">
        <f t="shared" si="52"/>
        <v>0</v>
      </c>
      <c r="AI82" s="29">
        <f t="shared" si="52"/>
        <v>0</v>
      </c>
      <c r="AJ82" s="29">
        <f t="shared" si="52"/>
        <v>0</v>
      </c>
      <c r="AK82" s="29">
        <f t="shared" si="52"/>
        <v>0</v>
      </c>
      <c r="AL82" s="29"/>
      <c r="AM82" s="29"/>
      <c r="AN82" s="29"/>
      <c r="AO82" s="372"/>
      <c r="AP82" s="372"/>
      <c r="AQ82" s="29"/>
      <c r="AR82" s="372"/>
      <c r="AS82" s="372"/>
      <c r="AT82" s="372"/>
      <c r="AU82" s="29"/>
      <c r="AV82" s="29"/>
      <c r="AW82" s="29"/>
      <c r="AX82" s="29"/>
      <c r="AY82" s="29"/>
      <c r="AZ82" s="486"/>
      <c r="BA82" s="486"/>
      <c r="BB82" s="486"/>
      <c r="BC82" s="486"/>
      <c r="BD82" s="486"/>
      <c r="BE82" s="486"/>
    </row>
    <row r="83" spans="9:57" x14ac:dyDescent="0.2">
      <c r="I83" s="485"/>
      <c r="M83" s="485"/>
      <c r="Q83" s="412"/>
      <c r="U83" s="412"/>
      <c r="Y83" s="412"/>
      <c r="AK83" s="2"/>
      <c r="AL83" s="3"/>
      <c r="AM83" s="3"/>
      <c r="AN83" s="3"/>
      <c r="AO83" s="369"/>
      <c r="AP83" s="369"/>
      <c r="AQ83" s="486"/>
      <c r="AR83" s="369"/>
      <c r="AS83" s="369"/>
      <c r="AT83" s="369"/>
      <c r="AU83" s="486"/>
      <c r="AV83" s="486"/>
      <c r="AW83" s="486"/>
      <c r="AX83" s="29"/>
      <c r="AY83" s="486"/>
      <c r="AZ83" s="486"/>
      <c r="BA83" s="486"/>
      <c r="BB83" s="486"/>
      <c r="BC83" s="486"/>
      <c r="BD83" s="486"/>
      <c r="BE83" s="486"/>
    </row>
    <row r="84" spans="9:57" x14ac:dyDescent="0.2">
      <c r="AC84" s="3"/>
      <c r="AD84" s="3"/>
      <c r="AH84" s="3"/>
      <c r="AK84" s="6"/>
      <c r="AL84" s="3"/>
      <c r="AM84" s="3"/>
      <c r="AN84" s="3"/>
      <c r="AO84" s="369"/>
      <c r="AP84" s="369"/>
      <c r="AQ84" s="486"/>
      <c r="AR84" s="369"/>
      <c r="AS84" s="369"/>
      <c r="AT84" s="369"/>
      <c r="AU84" s="486"/>
      <c r="AV84" s="486"/>
      <c r="AW84" s="486"/>
      <c r="AX84" s="29"/>
      <c r="AY84" s="486"/>
      <c r="AZ84" s="486"/>
      <c r="BA84" s="486"/>
      <c r="BB84" s="486"/>
      <c r="BC84" s="486"/>
      <c r="BD84" s="486"/>
      <c r="BE84" s="486"/>
    </row>
    <row r="85" spans="9:57" x14ac:dyDescent="0.2">
      <c r="I85" s="485"/>
      <c r="M85" s="485"/>
      <c r="Q85" s="412"/>
      <c r="U85" s="412"/>
      <c r="Y85" s="412"/>
      <c r="AK85" s="29"/>
      <c r="AL85" s="3"/>
      <c r="AM85" s="3"/>
      <c r="AN85" s="3"/>
      <c r="AO85" s="369"/>
      <c r="AP85" s="369"/>
      <c r="AQ85" s="486"/>
      <c r="AR85" s="369"/>
      <c r="AS85" s="369"/>
      <c r="AT85" s="369"/>
      <c r="AU85" s="486"/>
      <c r="AV85" s="486"/>
      <c r="AW85" s="486"/>
      <c r="AX85" s="9"/>
      <c r="AY85" s="486"/>
      <c r="AZ85" s="486"/>
      <c r="BA85" s="486"/>
      <c r="BB85" s="486"/>
      <c r="BC85" s="486"/>
      <c r="BD85" s="486"/>
      <c r="BE85" s="486"/>
    </row>
    <row r="86" spans="9:57" x14ac:dyDescent="0.2">
      <c r="I86" s="485"/>
      <c r="M86" s="485"/>
      <c r="Q86" s="412"/>
      <c r="U86" s="412"/>
      <c r="Y86" s="412"/>
      <c r="AK86" s="35"/>
      <c r="AL86" s="3"/>
      <c r="AM86" s="3"/>
      <c r="AN86" s="3"/>
      <c r="AO86" s="369"/>
      <c r="AP86" s="369"/>
      <c r="AQ86" s="486"/>
      <c r="AR86" s="369"/>
      <c r="AS86" s="369"/>
      <c r="AT86" s="369"/>
      <c r="AU86" s="486"/>
      <c r="AV86" s="486"/>
      <c r="AW86" s="486"/>
      <c r="AX86" s="32"/>
      <c r="AY86" s="486"/>
      <c r="AZ86" s="486"/>
      <c r="BA86" s="486"/>
      <c r="BB86" s="486"/>
      <c r="BC86" s="486"/>
      <c r="BD86" s="486"/>
      <c r="BE86" s="486"/>
    </row>
    <row r="87" spans="9:57" x14ac:dyDescent="0.2">
      <c r="I87" s="485"/>
      <c r="M87" s="485"/>
      <c r="Q87" s="412"/>
      <c r="U87" s="412"/>
      <c r="Y87" s="412"/>
      <c r="AK87" s="35"/>
      <c r="AL87" s="3"/>
      <c r="AM87" s="3"/>
      <c r="AN87" s="3"/>
      <c r="AO87" s="369"/>
      <c r="AP87" s="369"/>
      <c r="AQ87" s="486"/>
      <c r="AR87" s="369"/>
      <c r="AS87" s="369"/>
      <c r="AT87" s="369"/>
      <c r="AU87" s="486"/>
      <c r="AV87" s="486"/>
      <c r="AW87" s="486"/>
      <c r="AX87" s="32"/>
      <c r="AY87" s="486"/>
      <c r="AZ87" s="486"/>
      <c r="BA87" s="486"/>
      <c r="BB87" s="486"/>
      <c r="BC87" s="486"/>
      <c r="BD87" s="486"/>
      <c r="BE87" s="486"/>
    </row>
    <row r="88" spans="9:57" x14ac:dyDescent="0.2">
      <c r="I88" s="485"/>
      <c r="M88" s="485"/>
      <c r="Q88" s="412"/>
      <c r="U88" s="412"/>
      <c r="Y88" s="412"/>
      <c r="AK88" s="35"/>
      <c r="AL88" s="3"/>
      <c r="AM88" s="3"/>
      <c r="AN88" s="3"/>
      <c r="AO88" s="369"/>
      <c r="AP88" s="369"/>
      <c r="AQ88" s="486"/>
      <c r="AR88" s="369"/>
      <c r="AS88" s="369"/>
      <c r="AT88" s="369"/>
      <c r="AU88" s="486"/>
      <c r="AV88" s="486"/>
      <c r="AW88" s="486"/>
      <c r="AX88" s="32"/>
      <c r="AY88" s="486"/>
      <c r="AZ88" s="486"/>
      <c r="BA88" s="486"/>
      <c r="BB88" s="486"/>
      <c r="BC88" s="486"/>
      <c r="BD88" s="486"/>
      <c r="BE88" s="486"/>
    </row>
    <row r="89" spans="9:57" x14ac:dyDescent="0.2">
      <c r="I89" s="485"/>
      <c r="M89" s="485"/>
      <c r="Q89" s="412"/>
      <c r="U89" s="412"/>
      <c r="Y89" s="412"/>
      <c r="AK89" s="32"/>
      <c r="AL89" s="3"/>
      <c r="AM89" s="3"/>
      <c r="AN89" s="3"/>
      <c r="AO89" s="369"/>
      <c r="AP89" s="369"/>
      <c r="AQ89" s="486"/>
      <c r="AR89" s="369"/>
      <c r="AS89" s="369"/>
      <c r="AT89" s="369"/>
      <c r="AU89" s="486"/>
      <c r="AV89" s="486"/>
      <c r="AW89" s="486"/>
      <c r="AX89" s="33"/>
      <c r="AY89" s="486"/>
      <c r="AZ89" s="486"/>
      <c r="BA89" s="486"/>
      <c r="BB89" s="486"/>
      <c r="BC89" s="486"/>
      <c r="BD89" s="486"/>
      <c r="BE89" s="486"/>
    </row>
    <row r="90" spans="9:57" x14ac:dyDescent="0.2">
      <c r="I90" s="485"/>
      <c r="M90" s="485"/>
      <c r="Q90" s="412"/>
      <c r="U90" s="412"/>
      <c r="Y90" s="412"/>
      <c r="AK90" s="33"/>
      <c r="AL90" s="3"/>
      <c r="AM90" s="3"/>
      <c r="AN90" s="3"/>
      <c r="AO90" s="369"/>
      <c r="AP90" s="369"/>
      <c r="AQ90" s="486"/>
      <c r="AR90" s="369"/>
      <c r="AS90" s="369"/>
      <c r="AT90" s="369"/>
      <c r="AU90" s="486"/>
      <c r="AV90" s="486"/>
      <c r="AW90" s="33"/>
      <c r="AX90" s="33"/>
      <c r="AY90" s="486"/>
      <c r="AZ90" s="486"/>
      <c r="BA90" s="486"/>
      <c r="BB90" s="486"/>
      <c r="BC90" s="486"/>
      <c r="BD90" s="486"/>
      <c r="BE90" s="486"/>
    </row>
    <row r="91" spans="9:57" x14ac:dyDescent="0.2">
      <c r="I91" s="485"/>
      <c r="M91" s="485"/>
      <c r="Q91" s="412"/>
      <c r="U91" s="412"/>
      <c r="Y91" s="412"/>
      <c r="AK91" s="33"/>
      <c r="AL91" s="3"/>
      <c r="AM91" s="3"/>
      <c r="AN91" s="3"/>
      <c r="AR91" s="369"/>
      <c r="AS91" s="369"/>
      <c r="AT91" s="369"/>
      <c r="AW91" s="3"/>
      <c r="AX91" s="3"/>
    </row>
    <row r="92" spans="9:57" x14ac:dyDescent="0.2">
      <c r="I92" s="485"/>
      <c r="M92" s="485"/>
      <c r="Q92" s="412"/>
      <c r="U92" s="412"/>
      <c r="Y92" s="412"/>
      <c r="AK92" s="3"/>
      <c r="AL92" s="3"/>
      <c r="AM92" s="3"/>
      <c r="AN92" s="3"/>
      <c r="AR92" s="369"/>
      <c r="AS92" s="369"/>
      <c r="AT92" s="369"/>
      <c r="AW92" s="3"/>
      <c r="AX92" s="3"/>
    </row>
    <row r="93" spans="9:57" x14ac:dyDescent="0.2">
      <c r="I93" s="485"/>
      <c r="M93" s="485"/>
      <c r="Q93" s="412"/>
      <c r="U93" s="412"/>
      <c r="Y93" s="412"/>
      <c r="AK93" s="3"/>
      <c r="AL93" s="3"/>
      <c r="AM93" s="3"/>
      <c r="AN93" s="3"/>
      <c r="AR93" s="369"/>
      <c r="AS93" s="369"/>
      <c r="AT93" s="369"/>
      <c r="AW93" s="3"/>
      <c r="AX93" s="3"/>
    </row>
    <row r="94" spans="9:57" x14ac:dyDescent="0.2">
      <c r="I94" s="485"/>
      <c r="M94" s="485"/>
      <c r="Q94" s="412"/>
      <c r="U94" s="412"/>
      <c r="Y94" s="412"/>
      <c r="AK94" s="3"/>
      <c r="AL94" s="3"/>
      <c r="AM94" s="3"/>
      <c r="AN94" s="3"/>
      <c r="AR94" s="369"/>
      <c r="AS94" s="369"/>
      <c r="AT94" s="369"/>
      <c r="AW94" s="3"/>
      <c r="AX94" s="3"/>
    </row>
    <row r="95" spans="9:57" x14ac:dyDescent="0.2">
      <c r="I95" s="485"/>
      <c r="M95" s="485"/>
      <c r="Q95" s="412"/>
      <c r="U95" s="412"/>
      <c r="Y95" s="412"/>
      <c r="AK95" s="3"/>
      <c r="AL95" s="3"/>
      <c r="AM95" s="3"/>
      <c r="AN95" s="3"/>
      <c r="AR95" s="369"/>
      <c r="AS95" s="369"/>
      <c r="AT95" s="369"/>
      <c r="AW95" s="3"/>
      <c r="AX95" s="3"/>
    </row>
    <row r="96" spans="9:57" x14ac:dyDescent="0.2">
      <c r="I96" s="485"/>
      <c r="M96" s="485"/>
      <c r="Q96" s="412"/>
      <c r="U96" s="412"/>
      <c r="Y96" s="412"/>
      <c r="AK96" s="3"/>
      <c r="AL96" s="3"/>
      <c r="AM96" s="3"/>
      <c r="AN96" s="3"/>
      <c r="AR96" s="369"/>
      <c r="AS96" s="369"/>
      <c r="AT96" s="369"/>
    </row>
    <row r="97" spans="9:25" x14ac:dyDescent="0.2">
      <c r="I97" s="485"/>
      <c r="M97" s="485"/>
      <c r="Q97" s="412"/>
      <c r="U97" s="412"/>
      <c r="Y97" s="412"/>
    </row>
  </sheetData>
  <mergeCells count="11">
    <mergeCell ref="C56:D56"/>
    <mergeCell ref="C10:D10"/>
    <mergeCell ref="C11:D11"/>
    <mergeCell ref="AO11:AP11"/>
    <mergeCell ref="A36:B36"/>
    <mergeCell ref="A42:B42"/>
    <mergeCell ref="C57:D57"/>
    <mergeCell ref="AO57:AP57"/>
    <mergeCell ref="C63:D63"/>
    <mergeCell ref="C64:D64"/>
    <mergeCell ref="AO64:AP64"/>
  </mergeCells>
  <conditionalFormatting sqref="AZ81 AQ46:AQ51 AU46:AX51 A46:A47 A54:A55 Z51:AB51 X51 A62 A70:A73 C51:E51 X46:AK50 AP46:AP50 D46:E50 AL46:AN51 AT48:AW48 J46:W51 AS46:AS51 AR46:AT50">
    <cfRule type="cellIs" dxfId="15" priority="5" stopIfTrue="1" operator="equal">
      <formula>0</formula>
    </cfRule>
  </conditionalFormatting>
  <conditionalFormatting sqref="A72:A73">
    <cfRule type="cellIs" dxfId="14" priority="4" stopIfTrue="1" operator="equal">
      <formula>0</formula>
    </cfRule>
  </conditionalFormatting>
  <conditionalFormatting sqref="AR51">
    <cfRule type="cellIs" dxfId="13" priority="2" stopIfTrue="1" operator="equal">
      <formula>0</formula>
    </cfRule>
  </conditionalFormatting>
  <conditionalFormatting sqref="F46:I51">
    <cfRule type="cellIs" dxfId="12" priority="1" stopIfTrue="1" operator="equal">
      <formula>0</formula>
    </cfRule>
  </conditionalFormatting>
  <printOptions horizontalCentered="1"/>
  <pageMargins left="0.3" right="0.3" top="0.4" bottom="0.6" header="0" footer="0.3"/>
  <pageSetup scale="59" orientation="landscape" r:id="rId1"/>
  <headerFooter alignWithMargins="0">
    <oddFooter>&amp;L&amp;F&amp;CPage 8</oddFooter>
  </headerFooter>
  <colBreaks count="1" manualBreakCount="1">
    <brk id="51" max="61"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6"/>
  <sheetViews>
    <sheetView view="pageBreakPreview" topLeftCell="A24" zoomScale="90" zoomScaleNormal="100" zoomScaleSheetLayoutView="90" workbookViewId="0">
      <selection activeCell="B21" sqref="B21:L21"/>
    </sheetView>
  </sheetViews>
  <sheetFormatPr defaultRowHeight="12.75" outlineLevelRow="1" x14ac:dyDescent="0.2"/>
  <cols>
    <col min="1" max="1" width="2.7109375" customWidth="1"/>
    <col min="2" max="2" width="45" customWidth="1"/>
    <col min="3" max="3" width="9.5703125" customWidth="1"/>
    <col min="4" max="4" width="9.7109375" customWidth="1"/>
    <col min="5" max="5" width="1.5703125" style="3" customWidth="1"/>
    <col min="6" max="8" width="9" style="486" hidden="1" customWidth="1"/>
    <col min="9" max="13" width="9" style="486" customWidth="1"/>
    <col min="14" max="17" width="9" style="3" customWidth="1"/>
    <col min="18" max="27" width="9" style="3" hidden="1" customWidth="1"/>
    <col min="28" max="28" width="9.7109375" style="3" hidden="1" customWidth="1"/>
    <col min="29" max="37" width="9.7109375" hidden="1" customWidth="1"/>
    <col min="38" max="38" width="1.5703125" customWidth="1"/>
    <col min="39" max="40" width="9.42578125" style="412" hidden="1" customWidth="1"/>
    <col min="41" max="42" width="9.42578125" style="64" hidden="1" customWidth="1"/>
    <col min="43" max="43" width="1.5703125" hidden="1" customWidth="1"/>
    <col min="44" max="46" width="9.7109375" style="64" customWidth="1"/>
    <col min="47" max="48" width="9.7109375" customWidth="1"/>
    <col min="49" max="53" width="9.7109375" hidden="1" customWidth="1"/>
    <col min="54" max="54" width="1.5703125" customWidth="1"/>
  </cols>
  <sheetData>
    <row r="1" spans="1:61" x14ac:dyDescent="0.2">
      <c r="AB1" s="263"/>
    </row>
    <row r="2" spans="1:61" x14ac:dyDescent="0.2">
      <c r="AB2" s="263"/>
    </row>
    <row r="3" spans="1:61" x14ac:dyDescent="0.2">
      <c r="AB3" s="263"/>
    </row>
    <row r="4" spans="1:61" x14ac:dyDescent="0.2">
      <c r="Z4" s="2"/>
      <c r="AB4" s="263"/>
    </row>
    <row r="5" spans="1:61" x14ac:dyDescent="0.2">
      <c r="A5" s="3"/>
      <c r="B5" s="3"/>
      <c r="C5" s="3"/>
      <c r="D5" s="3"/>
      <c r="Z5" s="2"/>
      <c r="AB5" s="263"/>
      <c r="AC5" s="3"/>
      <c r="AD5" s="3"/>
      <c r="AE5" s="3"/>
      <c r="AR5" s="538"/>
    </row>
    <row r="6" spans="1:61" ht="18" customHeight="1" x14ac:dyDescent="0.2">
      <c r="A6" s="84" t="s">
        <v>94</v>
      </c>
      <c r="B6" s="3"/>
      <c r="C6" s="3"/>
      <c r="D6" s="3"/>
      <c r="Z6" s="2"/>
      <c r="AB6" s="263"/>
      <c r="AC6" s="3"/>
      <c r="AD6" s="3"/>
      <c r="AE6" s="3"/>
    </row>
    <row r="7" spans="1:61" ht="18" customHeight="1" x14ac:dyDescent="0.2">
      <c r="A7" s="84" t="s">
        <v>215</v>
      </c>
      <c r="B7" s="3"/>
      <c r="C7" s="3"/>
      <c r="D7" s="3"/>
      <c r="Z7" s="2"/>
      <c r="AB7" s="263"/>
      <c r="AC7" s="3"/>
      <c r="AD7" s="3"/>
      <c r="AE7" s="3"/>
    </row>
    <row r="8" spans="1:61" s="485" customFormat="1" x14ac:dyDescent="0.2">
      <c r="A8" s="515" t="s">
        <v>264</v>
      </c>
      <c r="B8" s="486"/>
      <c r="C8" s="486"/>
      <c r="D8" s="486"/>
      <c r="E8" s="486"/>
      <c r="F8" s="486"/>
      <c r="G8" s="486"/>
      <c r="H8" s="486"/>
      <c r="I8" s="486"/>
      <c r="J8" s="486"/>
      <c r="K8" s="486"/>
      <c r="L8" s="486"/>
      <c r="M8" s="486"/>
      <c r="N8" s="539"/>
      <c r="O8" s="539"/>
      <c r="P8" s="539"/>
      <c r="Q8" s="539"/>
      <c r="R8" s="486"/>
      <c r="S8" s="486"/>
      <c r="T8" s="486"/>
      <c r="U8" s="486"/>
      <c r="V8" s="486"/>
      <c r="W8" s="486"/>
      <c r="X8" s="486"/>
      <c r="Y8" s="486"/>
      <c r="Z8" s="2"/>
      <c r="AA8" s="486"/>
      <c r="AB8" s="263"/>
      <c r="AC8" s="486"/>
      <c r="AD8" s="486"/>
      <c r="AE8" s="486"/>
      <c r="AO8" s="64"/>
      <c r="AP8" s="64"/>
      <c r="AR8" s="538"/>
      <c r="AS8" s="64"/>
      <c r="AT8" s="64"/>
    </row>
    <row r="9" spans="1:61" ht="9.75" customHeight="1" x14ac:dyDescent="0.2">
      <c r="A9" s="2"/>
      <c r="B9" s="2"/>
      <c r="C9" s="2"/>
      <c r="D9" s="2"/>
      <c r="E9" s="2"/>
      <c r="F9" s="2"/>
      <c r="G9" s="2"/>
      <c r="H9" s="2"/>
      <c r="I9" s="2"/>
      <c r="J9" s="2"/>
      <c r="K9" s="2"/>
      <c r="L9" s="2"/>
      <c r="M9" s="2"/>
      <c r="N9" s="284"/>
      <c r="O9" s="2"/>
      <c r="P9" s="2"/>
      <c r="Q9" s="2"/>
      <c r="R9" s="284"/>
      <c r="S9" s="2"/>
      <c r="T9" s="284"/>
      <c r="U9" s="2"/>
      <c r="V9" s="284"/>
      <c r="W9" s="2"/>
      <c r="X9" s="284"/>
      <c r="Y9" s="2"/>
      <c r="Z9" s="284"/>
      <c r="AA9" s="2"/>
      <c r="AB9" s="2"/>
      <c r="AC9" s="3"/>
      <c r="AD9" s="3"/>
      <c r="AE9" s="3"/>
      <c r="AO9" s="369"/>
      <c r="AP9" s="369"/>
      <c r="AR9" s="369"/>
      <c r="AS9" s="369"/>
      <c r="AT9" s="369"/>
      <c r="AY9" s="3"/>
      <c r="AZ9" s="3"/>
      <c r="BA9" s="3"/>
    </row>
    <row r="10" spans="1:61" x14ac:dyDescent="0.2">
      <c r="A10" s="5" t="s">
        <v>1</v>
      </c>
      <c r="B10" s="6"/>
      <c r="C10" s="2493" t="s">
        <v>327</v>
      </c>
      <c r="D10" s="2494"/>
      <c r="E10" s="187"/>
      <c r="F10" s="276"/>
      <c r="G10" s="276"/>
      <c r="H10" s="276"/>
      <c r="I10" s="17"/>
      <c r="J10" s="276"/>
      <c r="K10" s="276"/>
      <c r="L10" s="276"/>
      <c r="M10" s="17"/>
      <c r="N10" s="15"/>
      <c r="O10" s="16"/>
      <c r="P10" s="276"/>
      <c r="Q10" s="17"/>
      <c r="R10" s="15"/>
      <c r="S10" s="16"/>
      <c r="T10" s="276"/>
      <c r="U10" s="17"/>
      <c r="V10" s="486"/>
      <c r="W10" s="16"/>
      <c r="X10" s="2"/>
      <c r="Y10" s="17"/>
      <c r="Z10" s="16"/>
      <c r="AA10" s="486"/>
      <c r="AB10" s="276"/>
      <c r="AC10" s="17"/>
      <c r="AD10" s="16"/>
      <c r="AE10" s="16"/>
      <c r="AF10" s="16"/>
      <c r="AG10" s="16"/>
      <c r="AH10" s="20"/>
      <c r="AI10" s="17"/>
      <c r="AJ10" s="17"/>
      <c r="AK10" s="17"/>
      <c r="AL10" s="22"/>
      <c r="AM10" s="450" t="s">
        <v>311</v>
      </c>
      <c r="AN10" s="438"/>
      <c r="AO10" s="438" t="s">
        <v>296</v>
      </c>
      <c r="AP10" s="439"/>
      <c r="AQ10" s="13"/>
      <c r="AR10" s="535"/>
      <c r="AS10" s="469"/>
      <c r="AT10" s="405"/>
      <c r="AU10" s="46"/>
      <c r="AV10" s="46"/>
      <c r="AW10" s="15"/>
      <c r="AX10" s="20"/>
      <c r="AY10" s="46"/>
      <c r="AZ10" s="218"/>
      <c r="BA10" s="471"/>
      <c r="BB10" s="23"/>
    </row>
    <row r="11" spans="1:61" ht="13.5" x14ac:dyDescent="0.2">
      <c r="A11" s="5" t="s">
        <v>2</v>
      </c>
      <c r="B11" s="6"/>
      <c r="C11" s="2495" t="s">
        <v>39</v>
      </c>
      <c r="D11" s="2496"/>
      <c r="E11" s="358"/>
      <c r="F11" s="19" t="s">
        <v>330</v>
      </c>
      <c r="G11" s="19" t="s">
        <v>329</v>
      </c>
      <c r="H11" s="19" t="s">
        <v>328</v>
      </c>
      <c r="I11" s="12" t="s">
        <v>326</v>
      </c>
      <c r="J11" s="19" t="s">
        <v>282</v>
      </c>
      <c r="K11" s="19" t="s">
        <v>283</v>
      </c>
      <c r="L11" s="19" t="s">
        <v>284</v>
      </c>
      <c r="M11" s="12" t="s">
        <v>285</v>
      </c>
      <c r="N11" s="18" t="s">
        <v>220</v>
      </c>
      <c r="O11" s="19" t="s">
        <v>221</v>
      </c>
      <c r="P11" s="19" t="s">
        <v>222</v>
      </c>
      <c r="Q11" s="12" t="s">
        <v>219</v>
      </c>
      <c r="R11" s="18" t="s">
        <v>185</v>
      </c>
      <c r="S11" s="19" t="s">
        <v>186</v>
      </c>
      <c r="T11" s="19" t="s">
        <v>187</v>
      </c>
      <c r="U11" s="12" t="s">
        <v>188</v>
      </c>
      <c r="V11" s="19" t="s">
        <v>118</v>
      </c>
      <c r="W11" s="19" t="s">
        <v>117</v>
      </c>
      <c r="X11" s="19" t="s">
        <v>116</v>
      </c>
      <c r="Y11" s="12" t="s">
        <v>115</v>
      </c>
      <c r="Z11" s="19" t="s">
        <v>83</v>
      </c>
      <c r="AA11" s="19" t="s">
        <v>84</v>
      </c>
      <c r="AB11" s="19" t="s">
        <v>85</v>
      </c>
      <c r="AC11" s="12" t="s">
        <v>30</v>
      </c>
      <c r="AD11" s="19" t="s">
        <v>31</v>
      </c>
      <c r="AE11" s="19" t="s">
        <v>32</v>
      </c>
      <c r="AF11" s="19" t="s">
        <v>33</v>
      </c>
      <c r="AG11" s="19" t="s">
        <v>34</v>
      </c>
      <c r="AH11" s="21" t="s">
        <v>35</v>
      </c>
      <c r="AI11" s="12" t="s">
        <v>36</v>
      </c>
      <c r="AJ11" s="12" t="s">
        <v>37</v>
      </c>
      <c r="AK11" s="12" t="s">
        <v>38</v>
      </c>
      <c r="AL11" s="187"/>
      <c r="AM11" s="19" t="s">
        <v>283</v>
      </c>
      <c r="AN11" s="19" t="s">
        <v>221</v>
      </c>
      <c r="AO11" s="2498" t="s">
        <v>39</v>
      </c>
      <c r="AP11" s="2499"/>
      <c r="AQ11" s="404"/>
      <c r="AR11" s="18" t="s">
        <v>287</v>
      </c>
      <c r="AS11" s="18" t="s">
        <v>224</v>
      </c>
      <c r="AT11" s="18" t="s">
        <v>120</v>
      </c>
      <c r="AU11" s="18" t="s">
        <v>119</v>
      </c>
      <c r="AV11" s="18" t="s">
        <v>43</v>
      </c>
      <c r="AW11" s="18" t="s">
        <v>40</v>
      </c>
      <c r="AX11" s="21" t="s">
        <v>41</v>
      </c>
      <c r="AY11" s="21" t="s">
        <v>138</v>
      </c>
      <c r="AZ11" s="21" t="s">
        <v>139</v>
      </c>
      <c r="BA11" s="161" t="s">
        <v>140</v>
      </c>
      <c r="BB11" s="23"/>
      <c r="BC11" s="3"/>
      <c r="BD11" s="3"/>
      <c r="BG11" s="3"/>
      <c r="BH11" s="3"/>
      <c r="BI11" s="3"/>
    </row>
    <row r="12" spans="1:61" s="412" customFormat="1" x14ac:dyDescent="0.2">
      <c r="A12" s="5"/>
      <c r="B12" s="6"/>
      <c r="C12" s="422"/>
      <c r="D12" s="421"/>
      <c r="E12" s="358"/>
      <c r="F12" s="426" t="s">
        <v>240</v>
      </c>
      <c r="G12" s="426" t="s">
        <v>240</v>
      </c>
      <c r="H12" s="426" t="s">
        <v>240</v>
      </c>
      <c r="I12" s="427" t="s">
        <v>240</v>
      </c>
      <c r="J12" s="426" t="s">
        <v>240</v>
      </c>
      <c r="K12" s="426" t="s">
        <v>240</v>
      </c>
      <c r="L12" s="426" t="s">
        <v>240</v>
      </c>
      <c r="M12" s="427" t="s">
        <v>240</v>
      </c>
      <c r="N12" s="425" t="s">
        <v>240</v>
      </c>
      <c r="O12" s="426" t="s">
        <v>240</v>
      </c>
      <c r="P12" s="426" t="s">
        <v>240</v>
      </c>
      <c r="Q12" s="427" t="s">
        <v>240</v>
      </c>
      <c r="R12" s="425" t="s">
        <v>240</v>
      </c>
      <c r="S12" s="426" t="s">
        <v>240</v>
      </c>
      <c r="T12" s="426" t="s">
        <v>240</v>
      </c>
      <c r="U12" s="427" t="s">
        <v>240</v>
      </c>
      <c r="V12" s="425" t="s">
        <v>241</v>
      </c>
      <c r="W12" s="426" t="s">
        <v>241</v>
      </c>
      <c r="X12" s="426" t="s">
        <v>241</v>
      </c>
      <c r="Y12" s="427" t="s">
        <v>241</v>
      </c>
      <c r="Z12" s="13"/>
      <c r="AA12" s="13"/>
      <c r="AB12" s="13"/>
      <c r="AC12" s="162"/>
      <c r="AD12" s="13"/>
      <c r="AE12" s="13"/>
      <c r="AF12" s="13"/>
      <c r="AG12" s="13"/>
      <c r="AH12" s="187"/>
      <c r="AI12" s="162"/>
      <c r="AJ12" s="162"/>
      <c r="AK12" s="162"/>
      <c r="AL12" s="187"/>
      <c r="AM12" s="426" t="s">
        <v>240</v>
      </c>
      <c r="AN12" s="426" t="s">
        <v>240</v>
      </c>
      <c r="AO12" s="440"/>
      <c r="AP12" s="441"/>
      <c r="AQ12" s="420"/>
      <c r="AR12" s="425" t="s">
        <v>240</v>
      </c>
      <c r="AS12" s="425" t="s">
        <v>240</v>
      </c>
      <c r="AT12" s="425" t="s">
        <v>240</v>
      </c>
      <c r="AU12" s="425" t="s">
        <v>241</v>
      </c>
      <c r="AV12" s="425" t="s">
        <v>241</v>
      </c>
      <c r="AW12" s="425" t="s">
        <v>241</v>
      </c>
      <c r="AX12" s="428" t="s">
        <v>241</v>
      </c>
      <c r="AY12" s="187"/>
      <c r="AZ12" s="187"/>
      <c r="BA12" s="161"/>
      <c r="BB12" s="23"/>
      <c r="BC12" s="3"/>
      <c r="BD12" s="3"/>
      <c r="BG12" s="3"/>
      <c r="BH12" s="3"/>
      <c r="BI12" s="3"/>
    </row>
    <row r="13" spans="1:61" ht="12.75" customHeight="1" x14ac:dyDescent="0.2">
      <c r="A13" s="88" t="s">
        <v>61</v>
      </c>
      <c r="B13" s="7"/>
      <c r="C13" s="108"/>
      <c r="D13" s="110"/>
      <c r="E13" s="47"/>
      <c r="F13" s="488"/>
      <c r="G13" s="488"/>
      <c r="H13" s="488"/>
      <c r="I13" s="110"/>
      <c r="J13" s="488"/>
      <c r="K13" s="488"/>
      <c r="L13" s="488"/>
      <c r="M13" s="110"/>
      <c r="N13" s="94"/>
      <c r="O13" s="94"/>
      <c r="P13" s="94"/>
      <c r="Q13" s="110"/>
      <c r="R13" s="94"/>
      <c r="S13" s="94"/>
      <c r="T13" s="94"/>
      <c r="U13" s="110"/>
      <c r="V13" s="94"/>
      <c r="W13" s="94"/>
      <c r="X13" s="94"/>
      <c r="Y13" s="110"/>
      <c r="Z13" s="94"/>
      <c r="AA13" s="94"/>
      <c r="AB13" s="94"/>
      <c r="AC13" s="110"/>
      <c r="AD13" s="128"/>
      <c r="AE13" s="128"/>
      <c r="AF13" s="128"/>
      <c r="AG13" s="109"/>
      <c r="AH13" s="127"/>
      <c r="AI13" s="109"/>
      <c r="AJ13" s="109"/>
      <c r="AK13" s="109"/>
      <c r="AL13" s="47"/>
      <c r="AM13" s="94"/>
      <c r="AN13" s="94"/>
      <c r="AO13" s="373"/>
      <c r="AP13" s="387"/>
      <c r="AQ13" s="44"/>
      <c r="AR13" s="386"/>
      <c r="AS13" s="386"/>
      <c r="AT13" s="386"/>
      <c r="AU13" s="47"/>
      <c r="AV13" s="127"/>
      <c r="AW13" s="488"/>
      <c r="AX13" s="47"/>
      <c r="AY13" s="227"/>
      <c r="AZ13" s="227"/>
      <c r="BA13" s="315"/>
      <c r="BB13" s="23"/>
      <c r="BC13" s="3"/>
      <c r="BD13" s="3"/>
      <c r="BG13" s="3"/>
    </row>
    <row r="14" spans="1:61" ht="12.75" customHeight="1" x14ac:dyDescent="0.2">
      <c r="A14" s="88"/>
      <c r="B14" s="44" t="s">
        <v>182</v>
      </c>
      <c r="C14" s="171" t="e">
        <f>I14-M14</f>
        <v>#REF!</v>
      </c>
      <c r="D14" s="503" t="e">
        <f>IF(OR((C14/M14)&gt;3,(C14/M14)&lt;-3),"n.m.",(C14/M14))</f>
        <v>#REF!</v>
      </c>
      <c r="E14" s="47"/>
      <c r="F14" s="505" t="e">
        <f>+#REF!</f>
        <v>#REF!</v>
      </c>
      <c r="G14" s="505" t="e">
        <f>+#REF!</f>
        <v>#REF!</v>
      </c>
      <c r="H14" s="505" t="e">
        <f>+#REF!</f>
        <v>#REF!</v>
      </c>
      <c r="I14" s="506" t="e">
        <f>+#REF!</f>
        <v>#REF!</v>
      </c>
      <c r="J14" s="505" t="e">
        <f>+#REF!</f>
        <v>#REF!</v>
      </c>
      <c r="K14" s="505" t="e">
        <f>+#REF!</f>
        <v>#REF!</v>
      </c>
      <c r="L14" s="505" t="e">
        <f>+#REF!</f>
        <v>#REF!</v>
      </c>
      <c r="M14" s="506" t="e">
        <f>+#REF!</f>
        <v>#REF!</v>
      </c>
      <c r="N14" s="465">
        <v>18487</v>
      </c>
      <c r="O14" s="465" t="e">
        <f>#REF!</f>
        <v>#REF!</v>
      </c>
      <c r="P14" s="163" t="e">
        <f>#REF!</f>
        <v>#REF!</v>
      </c>
      <c r="Q14" s="167" t="e">
        <f>#REF!</f>
        <v>#REF!</v>
      </c>
      <c r="R14" s="163">
        <v>27712</v>
      </c>
      <c r="S14" s="163">
        <v>32618</v>
      </c>
      <c r="T14" s="163">
        <v>20083</v>
      </c>
      <c r="U14" s="167">
        <v>25806</v>
      </c>
      <c r="V14" s="163">
        <v>19380</v>
      </c>
      <c r="W14" s="163">
        <v>21984</v>
      </c>
      <c r="X14" s="163">
        <v>29595</v>
      </c>
      <c r="Y14" s="167">
        <v>26670</v>
      </c>
      <c r="Z14" s="163">
        <v>16696</v>
      </c>
      <c r="AA14" s="163">
        <v>16073</v>
      </c>
      <c r="AB14" s="163">
        <v>17456</v>
      </c>
      <c r="AC14" s="167">
        <v>24569</v>
      </c>
      <c r="AD14" s="163">
        <v>23292</v>
      </c>
      <c r="AE14" s="163">
        <v>22388</v>
      </c>
      <c r="AF14" s="163">
        <v>19827</v>
      </c>
      <c r="AG14" s="167">
        <v>25281</v>
      </c>
      <c r="AH14" s="132">
        <v>18686</v>
      </c>
      <c r="AI14" s="167">
        <v>17651</v>
      </c>
      <c r="AJ14" s="167">
        <v>17682</v>
      </c>
      <c r="AK14" s="167">
        <v>22625</v>
      </c>
      <c r="AL14" s="47"/>
      <c r="AM14" s="238" t="e">
        <f>SUM(K14:M14)</f>
        <v>#REF!</v>
      </c>
      <c r="AN14" s="238" t="e">
        <f>SUM(O14:Q14)</f>
        <v>#REF!</v>
      </c>
      <c r="AO14" s="183" t="e">
        <f>AR14-AS14</f>
        <v>#REF!</v>
      </c>
      <c r="AP14" s="503" t="e">
        <f>IF(OR((AO14/AS14)&gt;3,(AO14/AS14)&lt;-3),"n.m.",(AO14/AS14))</f>
        <v>#REF!</v>
      </c>
      <c r="AQ14" s="44"/>
      <c r="AR14" s="375" t="e">
        <f>SUM(J14:M14)</f>
        <v>#REF!</v>
      </c>
      <c r="AS14" s="375" t="e">
        <f>SUM(N14:Q14)</f>
        <v>#REF!</v>
      </c>
      <c r="AT14" s="375">
        <v>106219</v>
      </c>
      <c r="AU14" s="166">
        <v>97629</v>
      </c>
      <c r="AV14" s="504">
        <v>74794</v>
      </c>
      <c r="AW14" s="506">
        <v>90788</v>
      </c>
      <c r="AX14" s="167">
        <v>76644</v>
      </c>
      <c r="AY14" s="37">
        <v>18692</v>
      </c>
      <c r="AZ14" s="37">
        <v>0</v>
      </c>
      <c r="BA14" s="37">
        <v>0</v>
      </c>
      <c r="BB14" s="3"/>
      <c r="BC14" s="3"/>
      <c r="BD14" s="3"/>
      <c r="BG14" s="3"/>
    </row>
    <row r="15" spans="1:61" ht="12.75" customHeight="1" x14ac:dyDescent="0.2">
      <c r="A15" s="88"/>
      <c r="B15" s="487" t="s">
        <v>316</v>
      </c>
      <c r="C15" s="171" t="e">
        <f>I15-M15</f>
        <v>#REF!</v>
      </c>
      <c r="D15" s="27" t="e">
        <f>IF(OR((C15/M15)&gt;3,(C15/M15)&lt;-3),"n.m.",(C15/M15))</f>
        <v>#REF!</v>
      </c>
      <c r="E15" s="47"/>
      <c r="F15" s="505" t="e">
        <f>+#REF!</f>
        <v>#REF!</v>
      </c>
      <c r="G15" s="505" t="e">
        <f>+#REF!</f>
        <v>#REF!</v>
      </c>
      <c r="H15" s="505" t="e">
        <f>+#REF!</f>
        <v>#REF!</v>
      </c>
      <c r="I15" s="506" t="e">
        <f>+#REF!</f>
        <v>#REF!</v>
      </c>
      <c r="J15" s="505" t="e">
        <f>+#REF!</f>
        <v>#REF!</v>
      </c>
      <c r="K15" s="505" t="e">
        <f>+#REF!</f>
        <v>#REF!</v>
      </c>
      <c r="L15" s="505" t="e">
        <f>+#REF!</f>
        <v>#REF!</v>
      </c>
      <c r="M15" s="506" t="e">
        <f>+#REF!</f>
        <v>#REF!</v>
      </c>
      <c r="N15" s="465" t="e">
        <f>#REF!</f>
        <v>#REF!</v>
      </c>
      <c r="O15" s="465" t="e">
        <f>#REF!</f>
        <v>#REF!</v>
      </c>
      <c r="P15" s="163" t="e">
        <f>#REF!</f>
        <v>#REF!</v>
      </c>
      <c r="Q15" s="167" t="e">
        <f>#REF!</f>
        <v>#REF!</v>
      </c>
      <c r="R15" s="163">
        <v>1486</v>
      </c>
      <c r="S15" s="163">
        <v>1555</v>
      </c>
      <c r="T15" s="163">
        <v>1010</v>
      </c>
      <c r="U15" s="167">
        <v>900</v>
      </c>
      <c r="V15" s="163">
        <v>904</v>
      </c>
      <c r="W15" s="163">
        <v>833</v>
      </c>
      <c r="X15" s="163">
        <v>542</v>
      </c>
      <c r="Y15" s="167">
        <v>509</v>
      </c>
      <c r="Z15" s="163">
        <v>516</v>
      </c>
      <c r="AA15" s="163">
        <v>460</v>
      </c>
      <c r="AB15" s="163">
        <v>828</v>
      </c>
      <c r="AC15" s="167">
        <v>1052</v>
      </c>
      <c r="AD15" s="163">
        <v>777</v>
      </c>
      <c r="AE15" s="163">
        <v>719</v>
      </c>
      <c r="AF15" s="163">
        <v>827</v>
      </c>
      <c r="AG15" s="167">
        <v>1093</v>
      </c>
      <c r="AH15" s="132">
        <v>1149</v>
      </c>
      <c r="AI15" s="167">
        <v>924</v>
      </c>
      <c r="AJ15" s="167">
        <v>666</v>
      </c>
      <c r="AK15" s="167">
        <v>1290</v>
      </c>
      <c r="AL15" s="47"/>
      <c r="AM15" s="238" t="e">
        <f>SUM(K15:M15)</f>
        <v>#REF!</v>
      </c>
      <c r="AN15" s="238" t="e">
        <f>SUM(O15:Q15)</f>
        <v>#REF!</v>
      </c>
      <c r="AO15" s="183" t="e">
        <f>AR15-AS15</f>
        <v>#REF!</v>
      </c>
      <c r="AP15" s="27" t="e">
        <f>AO15/AS15</f>
        <v>#REF!</v>
      </c>
      <c r="AQ15" s="44"/>
      <c r="AR15" s="375" t="e">
        <f>SUM(J15:M15)</f>
        <v>#REF!</v>
      </c>
      <c r="AS15" s="375" t="e">
        <f>SUM(N15:Q15)</f>
        <v>#REF!</v>
      </c>
      <c r="AT15" s="375">
        <v>4951</v>
      </c>
      <c r="AU15" s="166">
        <v>2788</v>
      </c>
      <c r="AV15" s="504">
        <v>2856</v>
      </c>
      <c r="AW15" s="506">
        <v>3416</v>
      </c>
      <c r="AX15" s="167">
        <v>4029</v>
      </c>
      <c r="AY15" s="37">
        <v>1269</v>
      </c>
      <c r="AZ15" s="37">
        <v>0</v>
      </c>
      <c r="BA15" s="37">
        <v>0</v>
      </c>
      <c r="BB15" s="3"/>
      <c r="BC15" s="3"/>
      <c r="BD15" s="3"/>
      <c r="BG15" s="3"/>
    </row>
    <row r="16" spans="1:61" ht="12.75" hidden="1" customHeight="1" x14ac:dyDescent="0.2">
      <c r="A16" s="6"/>
      <c r="B16" s="44" t="s">
        <v>91</v>
      </c>
      <c r="C16" s="171">
        <f>I16-M16</f>
        <v>0</v>
      </c>
      <c r="D16" s="27" t="e">
        <f>IF(OR((C16/M16)&gt;3,(C16/M16)&lt;-3),"n.m.",(C16/M16))</f>
        <v>#DIV/0!</v>
      </c>
      <c r="E16" s="353"/>
      <c r="F16" s="505"/>
      <c r="G16" s="505"/>
      <c r="H16" s="505"/>
      <c r="I16" s="506"/>
      <c r="J16" s="505"/>
      <c r="K16" s="505"/>
      <c r="L16" s="505"/>
      <c r="M16" s="506"/>
      <c r="N16" s="465"/>
      <c r="O16" s="465"/>
      <c r="P16" s="163"/>
      <c r="Q16" s="167"/>
      <c r="R16" s="163"/>
      <c r="S16" s="163"/>
      <c r="T16" s="163"/>
      <c r="U16" s="167"/>
      <c r="V16" s="163"/>
      <c r="W16" s="163"/>
      <c r="X16" s="163"/>
      <c r="Y16" s="167"/>
      <c r="Z16" s="163">
        <v>10</v>
      </c>
      <c r="AA16" s="163">
        <v>53</v>
      </c>
      <c r="AB16" s="163">
        <v>25</v>
      </c>
      <c r="AC16" s="167">
        <v>20</v>
      </c>
      <c r="AD16" s="163">
        <v>27</v>
      </c>
      <c r="AE16" s="163">
        <v>28</v>
      </c>
      <c r="AF16" s="163">
        <v>83</v>
      </c>
      <c r="AG16" s="167">
        <v>48</v>
      </c>
      <c r="AH16" s="132">
        <v>81</v>
      </c>
      <c r="AI16" s="167">
        <v>38</v>
      </c>
      <c r="AJ16" s="167">
        <v>397</v>
      </c>
      <c r="AK16" s="167">
        <v>70</v>
      </c>
      <c r="AL16" s="134"/>
      <c r="AM16" s="172"/>
      <c r="AN16" s="172"/>
      <c r="AO16" s="183">
        <f>AR16-AS16</f>
        <v>0</v>
      </c>
      <c r="AP16" s="27" t="e">
        <f>AO16/AS16</f>
        <v>#DIV/0!</v>
      </c>
      <c r="AQ16" s="174"/>
      <c r="AR16" s="375"/>
      <c r="AS16" s="375"/>
      <c r="AT16" s="375">
        <v>0</v>
      </c>
      <c r="AU16" s="166">
        <v>0</v>
      </c>
      <c r="AV16" s="504">
        <v>108</v>
      </c>
      <c r="AW16" s="506">
        <v>186</v>
      </c>
      <c r="AX16" s="167">
        <v>586</v>
      </c>
      <c r="AY16" s="37">
        <v>75</v>
      </c>
      <c r="AZ16" s="37">
        <v>0</v>
      </c>
      <c r="BA16" s="37">
        <v>0</v>
      </c>
      <c r="BB16" s="3"/>
      <c r="BC16" s="3"/>
      <c r="BD16" s="3"/>
      <c r="BG16" s="3"/>
    </row>
    <row r="17" spans="1:59" ht="12.75" customHeight="1" x14ac:dyDescent="0.2">
      <c r="A17" s="7"/>
      <c r="B17" s="6"/>
      <c r="C17" s="175" t="e">
        <f>I17-M17</f>
        <v>#REF!</v>
      </c>
      <c r="D17" s="114" t="e">
        <f>IF(OR((C17/M17)&gt;3,(C17/M17)&lt;-3),"n.m.",(C17/M17))</f>
        <v>#REF!</v>
      </c>
      <c r="E17" s="353"/>
      <c r="F17" s="177" t="e">
        <f t="shared" ref="F17:M17" si="0">SUM(F14:F16)</f>
        <v>#REF!</v>
      </c>
      <c r="G17" s="177" t="e">
        <f t="shared" si="0"/>
        <v>#REF!</v>
      </c>
      <c r="H17" s="177" t="e">
        <f t="shared" si="0"/>
        <v>#REF!</v>
      </c>
      <c r="I17" s="178" t="e">
        <f t="shared" si="0"/>
        <v>#REF!</v>
      </c>
      <c r="J17" s="177" t="e">
        <f t="shared" si="0"/>
        <v>#REF!</v>
      </c>
      <c r="K17" s="177" t="e">
        <f t="shared" si="0"/>
        <v>#REF!</v>
      </c>
      <c r="L17" s="177" t="e">
        <f t="shared" si="0"/>
        <v>#REF!</v>
      </c>
      <c r="M17" s="178" t="e">
        <f t="shared" si="0"/>
        <v>#REF!</v>
      </c>
      <c r="N17" s="177" t="e">
        <f>SUM(N14:N15)</f>
        <v>#REF!</v>
      </c>
      <c r="O17" s="177" t="e">
        <f t="shared" ref="O17:U17" si="1">SUM(O14:O16)</f>
        <v>#REF!</v>
      </c>
      <c r="P17" s="177" t="e">
        <f t="shared" si="1"/>
        <v>#REF!</v>
      </c>
      <c r="Q17" s="178" t="e">
        <f t="shared" si="1"/>
        <v>#REF!</v>
      </c>
      <c r="R17" s="177">
        <f t="shared" si="1"/>
        <v>29198</v>
      </c>
      <c r="S17" s="177">
        <f t="shared" si="1"/>
        <v>34173</v>
      </c>
      <c r="T17" s="177">
        <f t="shared" si="1"/>
        <v>21093</v>
      </c>
      <c r="U17" s="178">
        <f t="shared" si="1"/>
        <v>26706</v>
      </c>
      <c r="V17" s="177">
        <v>20284</v>
      </c>
      <c r="W17" s="177">
        <v>22817</v>
      </c>
      <c r="X17" s="177">
        <v>30137</v>
      </c>
      <c r="Y17" s="178">
        <v>27179</v>
      </c>
      <c r="Z17" s="177">
        <v>17212</v>
      </c>
      <c r="AA17" s="177">
        <v>16533</v>
      </c>
      <c r="AB17" s="177">
        <v>18284</v>
      </c>
      <c r="AC17" s="177">
        <v>25621</v>
      </c>
      <c r="AD17" s="176">
        <v>24069</v>
      </c>
      <c r="AE17" s="177">
        <v>23107</v>
      </c>
      <c r="AF17" s="177">
        <v>20654</v>
      </c>
      <c r="AG17" s="177">
        <v>26374</v>
      </c>
      <c r="AH17" s="176">
        <v>19835</v>
      </c>
      <c r="AI17" s="178">
        <v>18613</v>
      </c>
      <c r="AJ17" s="178">
        <v>18745</v>
      </c>
      <c r="AK17" s="178">
        <v>23985</v>
      </c>
      <c r="AL17" s="134"/>
      <c r="AM17" s="177" t="e">
        <f>SUM(AM14:AM16)</f>
        <v>#REF!</v>
      </c>
      <c r="AN17" s="177" t="e">
        <f>SUM(AN14:AN16)</f>
        <v>#REF!</v>
      </c>
      <c r="AO17" s="177" t="e">
        <f>AR17-AS17</f>
        <v>#REF!</v>
      </c>
      <c r="AP17" s="114" t="e">
        <f>AO17/AS17</f>
        <v>#REF!</v>
      </c>
      <c r="AQ17" s="174"/>
      <c r="AR17" s="377" t="e">
        <f>SUM(AR14:AR15)</f>
        <v>#REF!</v>
      </c>
      <c r="AS17" s="377" t="e">
        <f>SUM(AS14:AS15)</f>
        <v>#REF!</v>
      </c>
      <c r="AT17" s="377">
        <v>111170</v>
      </c>
      <c r="AU17" s="176">
        <v>100417</v>
      </c>
      <c r="AV17" s="133">
        <v>77650</v>
      </c>
      <c r="AW17" s="177">
        <v>94204</v>
      </c>
      <c r="AX17" s="176">
        <v>80673</v>
      </c>
      <c r="AY17" s="133">
        <f>SUM(AY14:AY15)</f>
        <v>19961</v>
      </c>
      <c r="AZ17" s="222">
        <v>0</v>
      </c>
      <c r="BA17" s="222">
        <v>0</v>
      </c>
      <c r="BB17" s="23"/>
      <c r="BC17" s="3"/>
      <c r="BD17" s="3"/>
      <c r="BG17" s="3"/>
    </row>
    <row r="18" spans="1:59" ht="12.75" customHeight="1" x14ac:dyDescent="0.2">
      <c r="A18" s="88" t="s">
        <v>5</v>
      </c>
      <c r="B18" s="6"/>
      <c r="C18" s="171"/>
      <c r="D18" s="27"/>
      <c r="E18" s="353"/>
      <c r="F18" s="505"/>
      <c r="G18" s="505"/>
      <c r="H18" s="505"/>
      <c r="I18" s="506"/>
      <c r="J18" s="505"/>
      <c r="K18" s="505"/>
      <c r="L18" s="505"/>
      <c r="M18" s="506"/>
      <c r="N18" s="465"/>
      <c r="O18" s="465"/>
      <c r="P18" s="163"/>
      <c r="Q18" s="167"/>
      <c r="R18" s="163"/>
      <c r="S18" s="163"/>
      <c r="T18" s="163"/>
      <c r="U18" s="167"/>
      <c r="V18" s="163"/>
      <c r="W18" s="163"/>
      <c r="X18" s="163"/>
      <c r="Y18" s="167"/>
      <c r="Z18" s="163"/>
      <c r="AA18" s="163"/>
      <c r="AB18" s="163"/>
      <c r="AC18" s="167"/>
      <c r="AD18" s="163"/>
      <c r="AE18" s="163"/>
      <c r="AF18" s="163"/>
      <c r="AG18" s="167"/>
      <c r="AH18" s="132"/>
      <c r="AI18" s="167"/>
      <c r="AJ18" s="167"/>
      <c r="AK18" s="167"/>
      <c r="AL18" s="134"/>
      <c r="AM18" s="172"/>
      <c r="AN18" s="172"/>
      <c r="AO18" s="183"/>
      <c r="AP18" s="27"/>
      <c r="AQ18" s="174"/>
      <c r="AR18" s="375"/>
      <c r="AS18" s="375"/>
      <c r="AT18" s="375"/>
      <c r="AU18" s="166"/>
      <c r="AV18" s="504"/>
      <c r="AW18" s="506"/>
      <c r="AX18" s="167"/>
      <c r="AY18" s="37"/>
      <c r="AZ18" s="37"/>
      <c r="BA18" s="37"/>
      <c r="BB18" s="3"/>
      <c r="BC18" s="3"/>
      <c r="BD18" s="3"/>
      <c r="BG18" s="3"/>
    </row>
    <row r="19" spans="1:59" s="485" customFormat="1" ht="12.75" customHeight="1" x14ac:dyDescent="0.2">
      <c r="A19" s="413"/>
      <c r="B19" s="6" t="s">
        <v>304</v>
      </c>
      <c r="C19" s="171">
        <f t="shared" ref="C19:C39" si="2">I19-M19</f>
        <v>7177</v>
      </c>
      <c r="D19" s="503">
        <f t="shared" ref="D19:D30" si="3">IF(OR((C19/M19)&gt;3,(C19/M19)&lt;-3),"n.m.",(C19/M19))</f>
        <v>0.39081899368329343</v>
      </c>
      <c r="E19" s="502"/>
      <c r="F19" s="505"/>
      <c r="G19" s="505"/>
      <c r="H19" s="505"/>
      <c r="I19" s="506">
        <v>25541</v>
      </c>
      <c r="J19" s="505">
        <v>23698</v>
      </c>
      <c r="K19" s="505">
        <v>18976</v>
      </c>
      <c r="L19" s="505">
        <v>19839</v>
      </c>
      <c r="M19" s="506">
        <v>18364</v>
      </c>
      <c r="N19" s="505">
        <v>12319</v>
      </c>
      <c r="O19" s="505">
        <v>8587</v>
      </c>
      <c r="P19" s="505">
        <v>9084</v>
      </c>
      <c r="Q19" s="506">
        <v>13578</v>
      </c>
      <c r="R19" s="505">
        <v>15037</v>
      </c>
      <c r="S19" s="505">
        <v>18002</v>
      </c>
      <c r="T19" s="505">
        <v>10237</v>
      </c>
      <c r="U19" s="506"/>
      <c r="V19" s="505"/>
      <c r="W19" s="505"/>
      <c r="X19" s="505"/>
      <c r="Y19" s="506"/>
      <c r="Z19" s="505"/>
      <c r="AA19" s="505"/>
      <c r="AB19" s="505"/>
      <c r="AC19" s="506"/>
      <c r="AD19" s="505"/>
      <c r="AE19" s="505"/>
      <c r="AF19" s="505"/>
      <c r="AG19" s="506"/>
      <c r="AH19" s="504"/>
      <c r="AI19" s="506"/>
      <c r="AJ19" s="506"/>
      <c r="AK19" s="506"/>
      <c r="AL19" s="134"/>
      <c r="AM19" s="499">
        <f t="shared" ref="AM19:AM33" si="4">SUM(K19:M19)</f>
        <v>57179</v>
      </c>
      <c r="AN19" s="499">
        <f t="shared" ref="AN19:AN33" si="5">SUM(O19:Q19)</f>
        <v>31249</v>
      </c>
      <c r="AO19" s="183">
        <f t="shared" ref="AO19:AO35" si="6">AR19-AS19</f>
        <v>37309</v>
      </c>
      <c r="AP19" s="503">
        <f t="shared" ref="AP19:AP26" si="7">AO19/AS19</f>
        <v>0.85633951524054353</v>
      </c>
      <c r="AQ19" s="174"/>
      <c r="AR19" s="375">
        <f>SUM(J19:M19)</f>
        <v>80877</v>
      </c>
      <c r="AS19" s="375">
        <v>43568</v>
      </c>
      <c r="AT19" s="375">
        <v>56785</v>
      </c>
      <c r="AU19" s="495">
        <v>54488</v>
      </c>
      <c r="AV19" s="504">
        <v>35876</v>
      </c>
      <c r="AW19" s="506">
        <v>49543</v>
      </c>
      <c r="AX19" s="506"/>
      <c r="AY19" s="37"/>
      <c r="AZ19" s="37"/>
      <c r="BA19" s="37"/>
      <c r="BB19" s="486"/>
      <c r="BC19" s="486"/>
      <c r="BD19" s="486"/>
      <c r="BG19" s="486"/>
    </row>
    <row r="20" spans="1:59" s="485" customFormat="1" ht="12.75" customHeight="1" x14ac:dyDescent="0.2">
      <c r="A20" s="413"/>
      <c r="B20" s="6" t="s">
        <v>305</v>
      </c>
      <c r="C20" s="179">
        <f t="shared" si="2"/>
        <v>-79</v>
      </c>
      <c r="D20" s="95">
        <f t="shared" si="3"/>
        <v>-8.5405405405405407E-2</v>
      </c>
      <c r="E20" s="502"/>
      <c r="F20" s="169"/>
      <c r="G20" s="169"/>
      <c r="H20" s="169"/>
      <c r="I20" s="170">
        <v>846</v>
      </c>
      <c r="J20" s="169">
        <v>803</v>
      </c>
      <c r="K20" s="169">
        <v>207</v>
      </c>
      <c r="L20" s="169">
        <v>506</v>
      </c>
      <c r="M20" s="170">
        <v>925</v>
      </c>
      <c r="N20" s="169">
        <v>1237</v>
      </c>
      <c r="O20" s="169">
        <v>1164</v>
      </c>
      <c r="P20" s="169">
        <v>942</v>
      </c>
      <c r="Q20" s="170">
        <v>1100</v>
      </c>
      <c r="R20" s="169">
        <v>327</v>
      </c>
      <c r="S20" s="169">
        <v>390</v>
      </c>
      <c r="T20" s="169">
        <v>1291</v>
      </c>
      <c r="U20" s="506"/>
      <c r="V20" s="505"/>
      <c r="W20" s="505"/>
      <c r="X20" s="505"/>
      <c r="Y20" s="506"/>
      <c r="Z20" s="505"/>
      <c r="AA20" s="505"/>
      <c r="AB20" s="505"/>
      <c r="AC20" s="506"/>
      <c r="AD20" s="505"/>
      <c r="AE20" s="505"/>
      <c r="AF20" s="505"/>
      <c r="AG20" s="506"/>
      <c r="AH20" s="504"/>
      <c r="AI20" s="506"/>
      <c r="AJ20" s="506"/>
      <c r="AK20" s="506"/>
      <c r="AL20" s="134"/>
      <c r="AM20" s="246">
        <f t="shared" si="4"/>
        <v>1638</v>
      </c>
      <c r="AN20" s="246">
        <f t="shared" si="5"/>
        <v>3206</v>
      </c>
      <c r="AO20" s="243">
        <f t="shared" si="6"/>
        <v>-2002</v>
      </c>
      <c r="AP20" s="95">
        <f t="shared" si="7"/>
        <v>-0.45059644384424941</v>
      </c>
      <c r="AQ20" s="174"/>
      <c r="AR20" s="376">
        <f>SUM(J20:M20)</f>
        <v>2441</v>
      </c>
      <c r="AS20" s="376">
        <v>4443</v>
      </c>
      <c r="AT20" s="376">
        <v>2859</v>
      </c>
      <c r="AU20" s="168">
        <v>585</v>
      </c>
      <c r="AV20" s="137">
        <v>151</v>
      </c>
      <c r="AW20" s="170">
        <v>-803</v>
      </c>
      <c r="AX20" s="506"/>
      <c r="AY20" s="37"/>
      <c r="AZ20" s="37"/>
      <c r="BA20" s="37"/>
      <c r="BB20" s="486"/>
      <c r="BC20" s="486"/>
      <c r="BD20" s="486"/>
      <c r="BG20" s="486"/>
    </row>
    <row r="21" spans="1:59" ht="12.75" customHeight="1" x14ac:dyDescent="0.2">
      <c r="A21" s="7"/>
      <c r="B21" s="487" t="s">
        <v>208</v>
      </c>
      <c r="C21" s="171">
        <f t="shared" si="2"/>
        <v>7098</v>
      </c>
      <c r="D21" s="27">
        <f t="shared" si="3"/>
        <v>0.36798175125719323</v>
      </c>
      <c r="E21" s="353"/>
      <c r="F21" s="505">
        <f t="shared" ref="F21:K21" si="8">SUM(F19:F20)</f>
        <v>0</v>
      </c>
      <c r="G21" s="505">
        <f t="shared" si="8"/>
        <v>0</v>
      </c>
      <c r="H21" s="505">
        <f t="shared" si="8"/>
        <v>0</v>
      </c>
      <c r="I21" s="506">
        <f t="shared" si="8"/>
        <v>26387</v>
      </c>
      <c r="J21" s="505">
        <f t="shared" si="8"/>
        <v>24501</v>
      </c>
      <c r="K21" s="505">
        <f t="shared" si="8"/>
        <v>19183</v>
      </c>
      <c r="L21" s="505">
        <v>20345</v>
      </c>
      <c r="M21" s="506">
        <v>19289</v>
      </c>
      <c r="N21" s="465">
        <v>13556</v>
      </c>
      <c r="O21" s="465">
        <v>9751</v>
      </c>
      <c r="P21" s="163">
        <v>10026</v>
      </c>
      <c r="Q21" s="167">
        <v>14678</v>
      </c>
      <c r="R21" s="163">
        <v>15364</v>
      </c>
      <c r="S21" s="163">
        <v>18392</v>
      </c>
      <c r="T21" s="163">
        <v>11528</v>
      </c>
      <c r="U21" s="167">
        <v>14360</v>
      </c>
      <c r="V21" s="163">
        <v>11389</v>
      </c>
      <c r="W21" s="163">
        <v>13270</v>
      </c>
      <c r="X21" s="163">
        <v>16681</v>
      </c>
      <c r="Y21" s="167">
        <v>13733</v>
      </c>
      <c r="Z21" s="163">
        <v>8513</v>
      </c>
      <c r="AA21" s="163">
        <v>8108</v>
      </c>
      <c r="AB21" s="163">
        <v>8420</v>
      </c>
      <c r="AC21" s="167">
        <v>10986</v>
      </c>
      <c r="AD21" s="163">
        <v>14475</v>
      </c>
      <c r="AE21" s="163">
        <v>12378</v>
      </c>
      <c r="AF21" s="163">
        <v>9511</v>
      </c>
      <c r="AG21" s="167">
        <v>12376</v>
      </c>
      <c r="AH21" s="132">
        <v>10496</v>
      </c>
      <c r="AI21" s="167">
        <v>9820</v>
      </c>
      <c r="AJ21" s="167">
        <v>9342</v>
      </c>
      <c r="AK21" s="167">
        <v>12902</v>
      </c>
      <c r="AL21" s="134"/>
      <c r="AM21" s="238">
        <f t="shared" si="4"/>
        <v>58817</v>
      </c>
      <c r="AN21" s="238">
        <f t="shared" si="5"/>
        <v>34455</v>
      </c>
      <c r="AO21" s="183">
        <f t="shared" si="6"/>
        <v>35307</v>
      </c>
      <c r="AP21" s="27">
        <f t="shared" si="7"/>
        <v>0.73539397221470082</v>
      </c>
      <c r="AQ21" s="174"/>
      <c r="AR21" s="375">
        <f>SUM(AR19:AR20)</f>
        <v>83318</v>
      </c>
      <c r="AS21" s="375">
        <f t="shared" ref="AS21:AS33" si="9">SUM(N21:Q21)</f>
        <v>48011</v>
      </c>
      <c r="AT21" s="375">
        <f>SUM(R21:U21)</f>
        <v>59644</v>
      </c>
      <c r="AU21" s="166">
        <v>55073</v>
      </c>
      <c r="AV21" s="504">
        <v>36027</v>
      </c>
      <c r="AW21" s="506">
        <v>48740</v>
      </c>
      <c r="AX21" s="167">
        <v>42560</v>
      </c>
      <c r="AY21" s="37">
        <v>9134</v>
      </c>
      <c r="AZ21" s="37">
        <v>0</v>
      </c>
      <c r="BA21" s="37">
        <v>0</v>
      </c>
      <c r="BB21" s="3"/>
      <c r="BC21" s="3"/>
      <c r="BD21" s="3"/>
      <c r="BG21" s="3"/>
    </row>
    <row r="22" spans="1:59" ht="12.75" customHeight="1" x14ac:dyDescent="0.2">
      <c r="A22" s="7"/>
      <c r="B22" s="44" t="s">
        <v>66</v>
      </c>
      <c r="C22" s="171">
        <f t="shared" si="2"/>
        <v>-186</v>
      </c>
      <c r="D22" s="27">
        <f t="shared" si="3"/>
        <v>-7.2542901716068642E-2</v>
      </c>
      <c r="E22" s="353"/>
      <c r="F22" s="505"/>
      <c r="G22" s="505"/>
      <c r="H22" s="505"/>
      <c r="I22" s="506">
        <v>2378</v>
      </c>
      <c r="J22" s="505">
        <v>3061</v>
      </c>
      <c r="K22" s="505">
        <v>2093</v>
      </c>
      <c r="L22" s="505">
        <v>2346</v>
      </c>
      <c r="M22" s="506">
        <v>2564</v>
      </c>
      <c r="N22" s="465">
        <v>1303</v>
      </c>
      <c r="O22" s="465">
        <f>1457-408</f>
        <v>1049</v>
      </c>
      <c r="P22" s="163">
        <v>1128</v>
      </c>
      <c r="Q22" s="167">
        <v>1092</v>
      </c>
      <c r="R22" s="163">
        <v>1169</v>
      </c>
      <c r="S22" s="163">
        <v>1250</v>
      </c>
      <c r="T22" s="163">
        <v>1315</v>
      </c>
      <c r="U22" s="167">
        <v>1187</v>
      </c>
      <c r="V22" s="163">
        <v>952</v>
      </c>
      <c r="W22" s="163">
        <v>1190</v>
      </c>
      <c r="X22" s="163">
        <v>1119</v>
      </c>
      <c r="Y22" s="167">
        <v>1085</v>
      </c>
      <c r="Z22" s="163">
        <v>1198</v>
      </c>
      <c r="AA22" s="163">
        <v>1224</v>
      </c>
      <c r="AB22" s="163">
        <v>1226</v>
      </c>
      <c r="AC22" s="167">
        <v>1513</v>
      </c>
      <c r="AD22" s="163">
        <v>980</v>
      </c>
      <c r="AE22" s="163">
        <v>1018</v>
      </c>
      <c r="AF22" s="163">
        <v>1257</v>
      </c>
      <c r="AG22" s="167">
        <v>1228</v>
      </c>
      <c r="AH22" s="132">
        <v>1329</v>
      </c>
      <c r="AI22" s="167">
        <v>1212</v>
      </c>
      <c r="AJ22" s="167">
        <v>815</v>
      </c>
      <c r="AK22" s="167">
        <v>1754</v>
      </c>
      <c r="AL22" s="134"/>
      <c r="AM22" s="238">
        <f t="shared" si="4"/>
        <v>7003</v>
      </c>
      <c r="AN22" s="238">
        <f t="shared" si="5"/>
        <v>3269</v>
      </c>
      <c r="AO22" s="183">
        <f t="shared" si="6"/>
        <v>5492</v>
      </c>
      <c r="AP22" s="27">
        <f t="shared" si="7"/>
        <v>1.2012248468941382</v>
      </c>
      <c r="AQ22" s="172"/>
      <c r="AR22" s="375">
        <f t="shared" ref="AR22:AR33" si="10">SUM(J22:M22)</f>
        <v>10064</v>
      </c>
      <c r="AS22" s="375">
        <f t="shared" si="9"/>
        <v>4572</v>
      </c>
      <c r="AT22" s="375">
        <f t="shared" ref="AT22:AT30" si="11">SUM(R22:U22)</f>
        <v>4921</v>
      </c>
      <c r="AU22" s="166">
        <v>4346</v>
      </c>
      <c r="AV22" s="504">
        <v>5161</v>
      </c>
      <c r="AW22" s="506">
        <v>4483</v>
      </c>
      <c r="AX22" s="167">
        <v>5110</v>
      </c>
      <c r="AY22" s="37">
        <v>1613</v>
      </c>
      <c r="AZ22" s="37">
        <v>0</v>
      </c>
      <c r="BA22" s="37">
        <v>0</v>
      </c>
      <c r="BB22" s="3"/>
      <c r="BC22" s="3"/>
      <c r="BD22" s="3"/>
      <c r="BG22" s="3"/>
    </row>
    <row r="23" spans="1:59" ht="12.75" hidden="1" customHeight="1" x14ac:dyDescent="0.2">
      <c r="A23" s="7"/>
      <c r="B23" s="6" t="s">
        <v>191</v>
      </c>
      <c r="C23" s="171">
        <f t="shared" si="2"/>
        <v>0</v>
      </c>
      <c r="D23" s="27" t="e">
        <f t="shared" si="3"/>
        <v>#DIV/0!</v>
      </c>
      <c r="E23" s="353"/>
      <c r="F23" s="512"/>
      <c r="G23" s="512"/>
      <c r="H23" s="512"/>
      <c r="I23" s="26"/>
      <c r="J23" s="512"/>
      <c r="K23" s="512"/>
      <c r="L23" s="512"/>
      <c r="M23" s="26"/>
      <c r="N23" s="28"/>
      <c r="O23" s="28"/>
      <c r="P23" s="28"/>
      <c r="Q23" s="26"/>
      <c r="R23" s="28"/>
      <c r="S23" s="28"/>
      <c r="T23" s="28"/>
      <c r="U23" s="26"/>
      <c r="V23" s="28">
        <v>0</v>
      </c>
      <c r="W23" s="28">
        <v>0</v>
      </c>
      <c r="X23" s="28">
        <v>0</v>
      </c>
      <c r="Y23" s="26">
        <v>0</v>
      </c>
      <c r="Z23" s="28">
        <v>0</v>
      </c>
      <c r="AA23" s="28">
        <v>0</v>
      </c>
      <c r="AB23" s="28">
        <v>0</v>
      </c>
      <c r="AC23" s="26">
        <v>0</v>
      </c>
      <c r="AD23" s="163"/>
      <c r="AE23" s="163"/>
      <c r="AF23" s="163"/>
      <c r="AG23" s="167"/>
      <c r="AH23" s="132"/>
      <c r="AI23" s="167"/>
      <c r="AJ23" s="167"/>
      <c r="AK23" s="167"/>
      <c r="AL23" s="134"/>
      <c r="AM23" s="238">
        <f t="shared" si="4"/>
        <v>0</v>
      </c>
      <c r="AN23" s="238">
        <f t="shared" si="5"/>
        <v>0</v>
      </c>
      <c r="AO23" s="183">
        <f t="shared" si="6"/>
        <v>0</v>
      </c>
      <c r="AP23" s="27" t="e">
        <f t="shared" si="7"/>
        <v>#DIV/0!</v>
      </c>
      <c r="AQ23" s="172"/>
      <c r="AR23" s="375">
        <f t="shared" si="10"/>
        <v>0</v>
      </c>
      <c r="AS23" s="375">
        <f t="shared" si="9"/>
        <v>0</v>
      </c>
      <c r="AT23" s="375">
        <f t="shared" si="11"/>
        <v>0</v>
      </c>
      <c r="AU23" s="37">
        <v>0</v>
      </c>
      <c r="AV23" s="37">
        <v>0</v>
      </c>
      <c r="AW23" s="26">
        <v>0</v>
      </c>
      <c r="AX23" s="37">
        <v>0</v>
      </c>
      <c r="AY23" s="37">
        <v>0</v>
      </c>
      <c r="AZ23" s="37"/>
      <c r="BA23" s="37"/>
      <c r="BB23" s="3"/>
      <c r="BC23" s="3"/>
      <c r="BD23" s="3"/>
      <c r="BG23" s="3"/>
    </row>
    <row r="24" spans="1:59" ht="12.75" customHeight="1" x14ac:dyDescent="0.2">
      <c r="A24" s="7"/>
      <c r="B24" s="44" t="s">
        <v>92</v>
      </c>
      <c r="C24" s="171">
        <f t="shared" si="2"/>
        <v>159</v>
      </c>
      <c r="D24" s="503">
        <f t="shared" si="3"/>
        <v>2.7642559109874825E-2</v>
      </c>
      <c r="E24" s="353"/>
      <c r="F24" s="505"/>
      <c r="G24" s="505"/>
      <c r="H24" s="505"/>
      <c r="I24" s="506">
        <v>5911</v>
      </c>
      <c r="J24" s="505">
        <v>4004</v>
      </c>
      <c r="K24" s="505">
        <v>3742</v>
      </c>
      <c r="L24" s="505">
        <v>4472</v>
      </c>
      <c r="M24" s="506">
        <v>5752</v>
      </c>
      <c r="N24" s="465">
        <v>583</v>
      </c>
      <c r="O24" s="465">
        <v>1133</v>
      </c>
      <c r="P24" s="163">
        <v>1609</v>
      </c>
      <c r="Q24" s="167">
        <v>1135</v>
      </c>
      <c r="R24" s="163">
        <v>1024</v>
      </c>
      <c r="S24" s="163">
        <v>963</v>
      </c>
      <c r="T24" s="163">
        <v>1025</v>
      </c>
      <c r="U24" s="167">
        <v>1102</v>
      </c>
      <c r="V24" s="163">
        <v>1490</v>
      </c>
      <c r="W24" s="163">
        <v>1581</v>
      </c>
      <c r="X24" s="163">
        <v>1493</v>
      </c>
      <c r="Y24" s="167">
        <v>2002</v>
      </c>
      <c r="Z24" s="163">
        <v>1887</v>
      </c>
      <c r="AA24" s="163">
        <v>1909</v>
      </c>
      <c r="AB24" s="163">
        <v>2613</v>
      </c>
      <c r="AC24" s="167">
        <v>2363</v>
      </c>
      <c r="AD24" s="163">
        <v>1899</v>
      </c>
      <c r="AE24" s="163">
        <v>2030</v>
      </c>
      <c r="AF24" s="163">
        <v>2443</v>
      </c>
      <c r="AG24" s="167">
        <v>2277</v>
      </c>
      <c r="AH24" s="132">
        <v>2198</v>
      </c>
      <c r="AI24" s="167">
        <v>2557</v>
      </c>
      <c r="AJ24" s="167">
        <v>1957</v>
      </c>
      <c r="AK24" s="167">
        <v>2280</v>
      </c>
      <c r="AL24" s="134"/>
      <c r="AM24" s="238">
        <f t="shared" si="4"/>
        <v>13966</v>
      </c>
      <c r="AN24" s="238">
        <f t="shared" si="5"/>
        <v>3877</v>
      </c>
      <c r="AO24" s="183">
        <f t="shared" si="6"/>
        <v>13510</v>
      </c>
      <c r="AP24" s="27">
        <f t="shared" si="7"/>
        <v>3.0291479820627805</v>
      </c>
      <c r="AQ24" s="174"/>
      <c r="AR24" s="375">
        <f t="shared" si="10"/>
        <v>17970</v>
      </c>
      <c r="AS24" s="375">
        <f t="shared" si="9"/>
        <v>4460</v>
      </c>
      <c r="AT24" s="375">
        <f t="shared" si="11"/>
        <v>4114</v>
      </c>
      <c r="AU24" s="166">
        <v>6566</v>
      </c>
      <c r="AV24" s="504">
        <v>8772</v>
      </c>
      <c r="AW24" s="506">
        <v>8649</v>
      </c>
      <c r="AX24" s="167">
        <v>8992</v>
      </c>
      <c r="AY24" s="37">
        <v>2026</v>
      </c>
      <c r="AZ24" s="37">
        <v>0</v>
      </c>
      <c r="BA24" s="37">
        <v>0</v>
      </c>
      <c r="BB24" s="3"/>
      <c r="BC24" s="3"/>
      <c r="BD24" s="3"/>
      <c r="BG24" s="3"/>
    </row>
    <row r="25" spans="1:59" ht="12.75" customHeight="1" x14ac:dyDescent="0.2">
      <c r="A25" s="7"/>
      <c r="B25" s="44" t="s">
        <v>68</v>
      </c>
      <c r="C25" s="171">
        <f t="shared" si="2"/>
        <v>-294</v>
      </c>
      <c r="D25" s="27">
        <f t="shared" si="3"/>
        <v>-0.12991604065399912</v>
      </c>
      <c r="E25" s="353"/>
      <c r="F25" s="505"/>
      <c r="G25" s="505"/>
      <c r="H25" s="505"/>
      <c r="I25" s="506">
        <v>1969</v>
      </c>
      <c r="J25" s="505">
        <v>1846</v>
      </c>
      <c r="K25" s="505">
        <v>1927</v>
      </c>
      <c r="L25" s="505">
        <v>2385</v>
      </c>
      <c r="M25" s="506">
        <v>2263</v>
      </c>
      <c r="N25" s="465">
        <v>1345</v>
      </c>
      <c r="O25" s="465">
        <v>1204</v>
      </c>
      <c r="P25" s="163">
        <v>1323</v>
      </c>
      <c r="Q25" s="167">
        <v>1159</v>
      </c>
      <c r="R25" s="163">
        <v>1182</v>
      </c>
      <c r="S25" s="163">
        <v>1109</v>
      </c>
      <c r="T25" s="163">
        <v>1096</v>
      </c>
      <c r="U25" s="167">
        <v>1064</v>
      </c>
      <c r="V25" s="163">
        <v>1151</v>
      </c>
      <c r="W25" s="163">
        <v>1134</v>
      </c>
      <c r="X25" s="163">
        <v>1299</v>
      </c>
      <c r="Y25" s="167">
        <v>1228</v>
      </c>
      <c r="Z25" s="163">
        <v>1402</v>
      </c>
      <c r="AA25" s="163">
        <v>1383</v>
      </c>
      <c r="AB25" s="163">
        <v>1259</v>
      </c>
      <c r="AC25" s="167">
        <v>1097</v>
      </c>
      <c r="AD25" s="163">
        <v>1274</v>
      </c>
      <c r="AE25" s="163">
        <v>1255</v>
      </c>
      <c r="AF25" s="163">
        <v>1169</v>
      </c>
      <c r="AG25" s="167">
        <v>1269</v>
      </c>
      <c r="AH25" s="132">
        <v>1500</v>
      </c>
      <c r="AI25" s="167">
        <v>907</v>
      </c>
      <c r="AJ25" s="167">
        <v>929</v>
      </c>
      <c r="AK25" s="167">
        <v>908</v>
      </c>
      <c r="AL25" s="134"/>
      <c r="AM25" s="238">
        <f t="shared" si="4"/>
        <v>6575</v>
      </c>
      <c r="AN25" s="238">
        <f t="shared" si="5"/>
        <v>3686</v>
      </c>
      <c r="AO25" s="183">
        <f t="shared" si="6"/>
        <v>3390</v>
      </c>
      <c r="AP25" s="27">
        <f t="shared" si="7"/>
        <v>0.67382230172927848</v>
      </c>
      <c r="AQ25" s="174"/>
      <c r="AR25" s="375">
        <f t="shared" si="10"/>
        <v>8421</v>
      </c>
      <c r="AS25" s="375">
        <f t="shared" si="9"/>
        <v>5031</v>
      </c>
      <c r="AT25" s="375">
        <f t="shared" si="11"/>
        <v>4451</v>
      </c>
      <c r="AU25" s="166">
        <v>4812</v>
      </c>
      <c r="AV25" s="504">
        <v>5141</v>
      </c>
      <c r="AW25" s="506">
        <v>4967</v>
      </c>
      <c r="AX25" s="167">
        <v>4244</v>
      </c>
      <c r="AY25" s="37">
        <v>1003</v>
      </c>
      <c r="AZ25" s="37">
        <v>0</v>
      </c>
      <c r="BA25" s="37">
        <v>0</v>
      </c>
      <c r="BB25" s="3"/>
      <c r="BC25" s="3"/>
      <c r="BD25" s="3"/>
      <c r="BG25" s="3"/>
    </row>
    <row r="26" spans="1:59" ht="12.75" customHeight="1" x14ac:dyDescent="0.2">
      <c r="A26" s="7"/>
      <c r="B26" s="44" t="s">
        <v>69</v>
      </c>
      <c r="C26" s="171">
        <f t="shared" si="2"/>
        <v>-852</v>
      </c>
      <c r="D26" s="27">
        <f t="shared" si="3"/>
        <v>-0.25014679976512039</v>
      </c>
      <c r="E26" s="353"/>
      <c r="F26" s="505"/>
      <c r="G26" s="505"/>
      <c r="H26" s="505"/>
      <c r="I26" s="506">
        <v>2554</v>
      </c>
      <c r="J26" s="505">
        <v>2531</v>
      </c>
      <c r="K26" s="505">
        <v>3293</v>
      </c>
      <c r="L26" s="505">
        <v>3084</v>
      </c>
      <c r="M26" s="506">
        <v>3406</v>
      </c>
      <c r="N26" s="465">
        <v>1588</v>
      </c>
      <c r="O26" s="465">
        <v>1370</v>
      </c>
      <c r="P26" s="163">
        <v>1346</v>
      </c>
      <c r="Q26" s="167">
        <v>1266</v>
      </c>
      <c r="R26" s="163">
        <v>1248</v>
      </c>
      <c r="S26" s="163">
        <v>1372</v>
      </c>
      <c r="T26" s="163">
        <v>1428</v>
      </c>
      <c r="U26" s="167">
        <v>1425</v>
      </c>
      <c r="V26" s="163">
        <v>1242</v>
      </c>
      <c r="W26" s="163">
        <v>1344</v>
      </c>
      <c r="X26" s="163">
        <v>1220</v>
      </c>
      <c r="Y26" s="167">
        <v>1202</v>
      </c>
      <c r="Z26" s="163">
        <v>1431</v>
      </c>
      <c r="AA26" s="163">
        <v>1735</v>
      </c>
      <c r="AB26" s="163">
        <v>1172</v>
      </c>
      <c r="AC26" s="167">
        <v>723</v>
      </c>
      <c r="AD26" s="163">
        <v>771</v>
      </c>
      <c r="AE26" s="163">
        <v>615</v>
      </c>
      <c r="AF26" s="163">
        <v>571</v>
      </c>
      <c r="AG26" s="167">
        <v>619</v>
      </c>
      <c r="AH26" s="132">
        <v>605</v>
      </c>
      <c r="AI26" s="167">
        <v>585</v>
      </c>
      <c r="AJ26" s="167">
        <v>494</v>
      </c>
      <c r="AK26" s="167">
        <v>600</v>
      </c>
      <c r="AL26" s="134"/>
      <c r="AM26" s="238">
        <f t="shared" si="4"/>
        <v>9783</v>
      </c>
      <c r="AN26" s="238">
        <f t="shared" si="5"/>
        <v>3982</v>
      </c>
      <c r="AO26" s="183">
        <f t="shared" si="6"/>
        <v>6744</v>
      </c>
      <c r="AP26" s="27">
        <f t="shared" si="7"/>
        <v>1.2107719928186715</v>
      </c>
      <c r="AQ26" s="174"/>
      <c r="AR26" s="375">
        <f>SUM(J26:M26)</f>
        <v>12314</v>
      </c>
      <c r="AS26" s="375">
        <f t="shared" si="9"/>
        <v>5570</v>
      </c>
      <c r="AT26" s="375">
        <f t="shared" si="11"/>
        <v>5473</v>
      </c>
      <c r="AU26" s="166">
        <v>5008</v>
      </c>
      <c r="AV26" s="504">
        <v>5061</v>
      </c>
      <c r="AW26" s="506">
        <v>2576</v>
      </c>
      <c r="AX26" s="167">
        <v>2284</v>
      </c>
      <c r="AY26" s="37">
        <v>496</v>
      </c>
      <c r="AZ26" s="37">
        <v>0</v>
      </c>
      <c r="BA26" s="37">
        <v>0</v>
      </c>
      <c r="BB26" s="3"/>
      <c r="BC26" s="3"/>
      <c r="BD26" s="3"/>
      <c r="BG26" s="3"/>
    </row>
    <row r="27" spans="1:59" ht="12.75" customHeight="1" x14ac:dyDescent="0.2">
      <c r="A27" s="7"/>
      <c r="B27" s="44" t="s">
        <v>64</v>
      </c>
      <c r="C27" s="171">
        <f t="shared" si="2"/>
        <v>675</v>
      </c>
      <c r="D27" s="503">
        <f t="shared" si="3"/>
        <v>1.1925795053003534</v>
      </c>
      <c r="E27" s="353"/>
      <c r="F27" s="505"/>
      <c r="G27" s="505"/>
      <c r="H27" s="505"/>
      <c r="I27" s="506">
        <v>1241</v>
      </c>
      <c r="J27" s="505">
        <v>397</v>
      </c>
      <c r="K27" s="505">
        <f>448-2</f>
        <v>446</v>
      </c>
      <c r="L27" s="505">
        <v>505</v>
      </c>
      <c r="M27" s="506">
        <v>566</v>
      </c>
      <c r="N27" s="465">
        <v>98</v>
      </c>
      <c r="O27" s="465">
        <v>66</v>
      </c>
      <c r="P27" s="163">
        <v>56</v>
      </c>
      <c r="Q27" s="167">
        <v>38</v>
      </c>
      <c r="R27" s="163">
        <v>40</v>
      </c>
      <c r="S27" s="163">
        <v>51</v>
      </c>
      <c r="T27" s="163">
        <v>31</v>
      </c>
      <c r="U27" s="167">
        <v>59</v>
      </c>
      <c r="V27" s="163">
        <v>429</v>
      </c>
      <c r="W27" s="163">
        <v>179</v>
      </c>
      <c r="X27" s="163">
        <v>200</v>
      </c>
      <c r="Y27" s="167">
        <v>1080</v>
      </c>
      <c r="Z27" s="163">
        <v>1120</v>
      </c>
      <c r="AA27" s="163">
        <v>884</v>
      </c>
      <c r="AB27" s="163">
        <v>584</v>
      </c>
      <c r="AC27" s="167">
        <v>486</v>
      </c>
      <c r="AD27" s="163">
        <v>474</v>
      </c>
      <c r="AE27" s="163">
        <v>456</v>
      </c>
      <c r="AF27" s="163">
        <v>479</v>
      </c>
      <c r="AG27" s="167">
        <v>321</v>
      </c>
      <c r="AH27" s="132">
        <v>139</v>
      </c>
      <c r="AI27" s="167">
        <v>102</v>
      </c>
      <c r="AJ27" s="167">
        <v>80</v>
      </c>
      <c r="AK27" s="167">
        <v>94</v>
      </c>
      <c r="AL27" s="134"/>
      <c r="AM27" s="238">
        <f t="shared" si="4"/>
        <v>1517</v>
      </c>
      <c r="AN27" s="238">
        <f t="shared" si="5"/>
        <v>160</v>
      </c>
      <c r="AO27" s="183">
        <f t="shared" si="6"/>
        <v>1656</v>
      </c>
      <c r="AP27" s="503" t="str">
        <f>IF(OR((AO27/AS27)&gt;3,(AO27/AS27)&lt;-3),"n.m.",(AO27/AS27))</f>
        <v>n.m.</v>
      </c>
      <c r="AQ27" s="174"/>
      <c r="AR27" s="375">
        <f t="shared" si="10"/>
        <v>1914</v>
      </c>
      <c r="AS27" s="375">
        <f t="shared" si="9"/>
        <v>258</v>
      </c>
      <c r="AT27" s="375">
        <f t="shared" si="11"/>
        <v>181</v>
      </c>
      <c r="AU27" s="166">
        <v>1888</v>
      </c>
      <c r="AV27" s="504">
        <v>3074</v>
      </c>
      <c r="AW27" s="506">
        <v>1730</v>
      </c>
      <c r="AX27" s="167">
        <v>415</v>
      </c>
      <c r="AY27" s="37">
        <v>89</v>
      </c>
      <c r="AZ27" s="37">
        <v>0</v>
      </c>
      <c r="BA27" s="37">
        <v>0</v>
      </c>
      <c r="BB27" s="3"/>
      <c r="BC27" s="3"/>
      <c r="BD27" s="3"/>
      <c r="BG27" s="3"/>
    </row>
    <row r="28" spans="1:59" ht="12.75" customHeight="1" x14ac:dyDescent="0.2">
      <c r="A28" s="7"/>
      <c r="B28" s="44" t="s">
        <v>89</v>
      </c>
      <c r="C28" s="171">
        <f t="shared" si="2"/>
        <v>-369</v>
      </c>
      <c r="D28" s="27">
        <f t="shared" si="3"/>
        <v>-7.5383043922369761E-2</v>
      </c>
      <c r="E28" s="353"/>
      <c r="F28" s="505"/>
      <c r="G28" s="505"/>
      <c r="H28" s="505"/>
      <c r="I28" s="506">
        <v>4526</v>
      </c>
      <c r="J28" s="505">
        <v>4140</v>
      </c>
      <c r="K28" s="505">
        <v>4280</v>
      </c>
      <c r="L28" s="505">
        <v>4005</v>
      </c>
      <c r="M28" s="506">
        <v>4895</v>
      </c>
      <c r="N28" s="465">
        <v>3536</v>
      </c>
      <c r="O28" s="465">
        <v>3132</v>
      </c>
      <c r="P28" s="163">
        <v>3311</v>
      </c>
      <c r="Q28" s="167">
        <v>3098</v>
      </c>
      <c r="R28" s="163">
        <v>2771</v>
      </c>
      <c r="S28" s="163">
        <v>3144</v>
      </c>
      <c r="T28" s="163">
        <v>2704</v>
      </c>
      <c r="U28" s="167">
        <v>2959</v>
      </c>
      <c r="V28" s="163">
        <v>1586</v>
      </c>
      <c r="W28" s="163">
        <v>2341</v>
      </c>
      <c r="X28" s="163">
        <v>2368</v>
      </c>
      <c r="Y28" s="167">
        <v>2597</v>
      </c>
      <c r="Z28" s="163">
        <v>2329</v>
      </c>
      <c r="AA28" s="163">
        <v>2527</v>
      </c>
      <c r="AB28" s="163">
        <v>3913</v>
      </c>
      <c r="AC28" s="167">
        <v>3848</v>
      </c>
      <c r="AD28" s="163">
        <v>3196</v>
      </c>
      <c r="AE28" s="163">
        <v>2461</v>
      </c>
      <c r="AF28" s="163">
        <v>3688</v>
      </c>
      <c r="AG28" s="167">
        <v>3089</v>
      </c>
      <c r="AH28" s="132">
        <v>3359</v>
      </c>
      <c r="AI28" s="167">
        <v>2751</v>
      </c>
      <c r="AJ28" s="167">
        <v>2734</v>
      </c>
      <c r="AK28" s="167">
        <v>2277</v>
      </c>
      <c r="AL28" s="134"/>
      <c r="AM28" s="238">
        <f t="shared" si="4"/>
        <v>13180</v>
      </c>
      <c r="AN28" s="238">
        <f t="shared" si="5"/>
        <v>9541</v>
      </c>
      <c r="AO28" s="183">
        <f t="shared" si="6"/>
        <v>4243</v>
      </c>
      <c r="AP28" s="503">
        <f>IF(OR((AO28/AS28)&gt;3,(AO28/AS28)&lt;-3),"n.m.",(AO28/AS28))</f>
        <v>0.32446279727766308</v>
      </c>
      <c r="AQ28" s="174"/>
      <c r="AR28" s="375">
        <f t="shared" si="10"/>
        <v>17320</v>
      </c>
      <c r="AS28" s="375">
        <f t="shared" si="9"/>
        <v>13077</v>
      </c>
      <c r="AT28" s="375">
        <f t="shared" si="11"/>
        <v>11578</v>
      </c>
      <c r="AU28" s="166">
        <v>8892</v>
      </c>
      <c r="AV28" s="504">
        <v>12617</v>
      </c>
      <c r="AW28" s="506">
        <v>12434</v>
      </c>
      <c r="AX28" s="167">
        <v>11121</v>
      </c>
      <c r="AY28" s="37">
        <v>1787</v>
      </c>
      <c r="AZ28" s="37">
        <v>0</v>
      </c>
      <c r="BA28" s="37">
        <v>0</v>
      </c>
      <c r="BB28" s="3"/>
      <c r="BC28" s="3"/>
      <c r="BD28" s="3"/>
      <c r="BG28" s="3"/>
    </row>
    <row r="29" spans="1:59" ht="12.75" customHeight="1" x14ac:dyDescent="0.2">
      <c r="A29" s="7"/>
      <c r="B29" s="44" t="s">
        <v>71</v>
      </c>
      <c r="C29" s="171">
        <f t="shared" si="2"/>
        <v>-180</v>
      </c>
      <c r="D29" s="27">
        <f t="shared" si="3"/>
        <v>-0.40723981900452488</v>
      </c>
      <c r="E29" s="353"/>
      <c r="F29" s="505"/>
      <c r="G29" s="505"/>
      <c r="H29" s="505"/>
      <c r="I29" s="506">
        <v>262</v>
      </c>
      <c r="J29" s="505">
        <v>201</v>
      </c>
      <c r="K29" s="505">
        <v>213</v>
      </c>
      <c r="L29" s="505">
        <v>406</v>
      </c>
      <c r="M29" s="506">
        <v>442</v>
      </c>
      <c r="N29" s="465">
        <v>552</v>
      </c>
      <c r="O29" s="465">
        <v>320</v>
      </c>
      <c r="P29" s="163">
        <v>313</v>
      </c>
      <c r="Q29" s="167">
        <v>243</v>
      </c>
      <c r="R29" s="163">
        <v>201</v>
      </c>
      <c r="S29" s="163">
        <v>258</v>
      </c>
      <c r="T29" s="163">
        <v>276</v>
      </c>
      <c r="U29" s="167">
        <v>262</v>
      </c>
      <c r="V29" s="163">
        <v>279</v>
      </c>
      <c r="W29" s="163">
        <v>287</v>
      </c>
      <c r="X29" s="163">
        <v>277</v>
      </c>
      <c r="Y29" s="167">
        <v>281</v>
      </c>
      <c r="Z29" s="163">
        <v>298</v>
      </c>
      <c r="AA29" s="163">
        <v>295</v>
      </c>
      <c r="AB29" s="163">
        <v>259</v>
      </c>
      <c r="AC29" s="167">
        <v>246</v>
      </c>
      <c r="AD29" s="163">
        <v>298</v>
      </c>
      <c r="AE29" s="163">
        <v>296</v>
      </c>
      <c r="AF29" s="163">
        <v>280</v>
      </c>
      <c r="AG29" s="167">
        <v>232</v>
      </c>
      <c r="AH29" s="132">
        <v>180</v>
      </c>
      <c r="AI29" s="167">
        <v>199</v>
      </c>
      <c r="AJ29" s="167">
        <v>155</v>
      </c>
      <c r="AK29" s="167">
        <v>173</v>
      </c>
      <c r="AL29" s="134"/>
      <c r="AM29" s="238">
        <f t="shared" si="4"/>
        <v>1061</v>
      </c>
      <c r="AN29" s="238">
        <f t="shared" si="5"/>
        <v>876</v>
      </c>
      <c r="AO29" s="183">
        <f t="shared" si="6"/>
        <v>-166</v>
      </c>
      <c r="AP29" s="503">
        <f>IF(OR((AO29/AS29)&gt;3,(AO29/AS29)&lt;-3),"n.m.",(AO29/AS29))</f>
        <v>-0.11624649859943978</v>
      </c>
      <c r="AQ29" s="174"/>
      <c r="AR29" s="375">
        <f t="shared" si="10"/>
        <v>1262</v>
      </c>
      <c r="AS29" s="375">
        <f t="shared" si="9"/>
        <v>1428</v>
      </c>
      <c r="AT29" s="375">
        <f t="shared" si="11"/>
        <v>997</v>
      </c>
      <c r="AU29" s="166">
        <v>1124</v>
      </c>
      <c r="AV29" s="504">
        <v>1098</v>
      </c>
      <c r="AW29" s="506">
        <v>1106</v>
      </c>
      <c r="AX29" s="167">
        <v>707</v>
      </c>
      <c r="AY29" s="37">
        <v>178</v>
      </c>
      <c r="AZ29" s="37">
        <v>0</v>
      </c>
      <c r="BA29" s="37">
        <v>0</v>
      </c>
      <c r="BB29" s="3"/>
      <c r="BC29" s="3"/>
      <c r="BD29" s="3"/>
      <c r="BG29" s="3"/>
    </row>
    <row r="30" spans="1:59" ht="12.75" customHeight="1" x14ac:dyDescent="0.2">
      <c r="A30" s="7"/>
      <c r="B30" s="44" t="s">
        <v>72</v>
      </c>
      <c r="C30" s="171">
        <f t="shared" si="2"/>
        <v>-975</v>
      </c>
      <c r="D30" s="27">
        <f t="shared" si="3"/>
        <v>-0.5855855855855856</v>
      </c>
      <c r="E30" s="353"/>
      <c r="F30" s="505"/>
      <c r="G30" s="505"/>
      <c r="H30" s="505"/>
      <c r="I30" s="506">
        <v>690</v>
      </c>
      <c r="J30" s="505">
        <v>762</v>
      </c>
      <c r="K30" s="505">
        <v>1031</v>
      </c>
      <c r="L30" s="505">
        <v>1301</v>
      </c>
      <c r="M30" s="506">
        <v>1665</v>
      </c>
      <c r="N30" s="465">
        <v>1123</v>
      </c>
      <c r="O30" s="465">
        <v>1040</v>
      </c>
      <c r="P30" s="163">
        <v>1228</v>
      </c>
      <c r="Q30" s="167">
        <v>1193</v>
      </c>
      <c r="R30" s="163">
        <v>516</v>
      </c>
      <c r="S30" s="163">
        <v>1213</v>
      </c>
      <c r="T30" s="163">
        <v>1026</v>
      </c>
      <c r="U30" s="167">
        <v>301</v>
      </c>
      <c r="V30" s="163">
        <v>418</v>
      </c>
      <c r="W30" s="163">
        <v>899</v>
      </c>
      <c r="X30" s="163">
        <v>1030</v>
      </c>
      <c r="Y30" s="167">
        <v>1730</v>
      </c>
      <c r="Z30" s="163">
        <v>2204</v>
      </c>
      <c r="AA30" s="163">
        <v>3246</v>
      </c>
      <c r="AB30" s="163">
        <v>2719</v>
      </c>
      <c r="AC30" s="167">
        <v>3341</v>
      </c>
      <c r="AD30" s="163">
        <v>5333</v>
      </c>
      <c r="AE30" s="163">
        <v>3240</v>
      </c>
      <c r="AF30" s="163">
        <v>4438</v>
      </c>
      <c r="AG30" s="167">
        <v>3867</v>
      </c>
      <c r="AH30" s="132">
        <v>3233</v>
      </c>
      <c r="AI30" s="167">
        <v>2112</v>
      </c>
      <c r="AJ30" s="167">
        <v>2716</v>
      </c>
      <c r="AK30" s="167">
        <v>809</v>
      </c>
      <c r="AL30" s="134"/>
      <c r="AM30" s="238">
        <f t="shared" si="4"/>
        <v>3997</v>
      </c>
      <c r="AN30" s="238">
        <f t="shared" si="5"/>
        <v>3461</v>
      </c>
      <c r="AO30" s="183">
        <f t="shared" si="6"/>
        <v>175</v>
      </c>
      <c r="AP30" s="503">
        <f>IF(OR((AO30/AS30)&gt;3,(AO30/AS30)&lt;-3),"n.m.",(AO30/AS30))</f>
        <v>3.8176265270506111E-2</v>
      </c>
      <c r="AQ30" s="174"/>
      <c r="AR30" s="375">
        <f t="shared" si="10"/>
        <v>4759</v>
      </c>
      <c r="AS30" s="375">
        <f t="shared" si="9"/>
        <v>4584</v>
      </c>
      <c r="AT30" s="375">
        <f t="shared" si="11"/>
        <v>3056</v>
      </c>
      <c r="AU30" s="166">
        <v>4077</v>
      </c>
      <c r="AV30" s="504">
        <v>11510</v>
      </c>
      <c r="AW30" s="506">
        <v>16878</v>
      </c>
      <c r="AX30" s="167">
        <v>8870</v>
      </c>
      <c r="AY30" s="37">
        <v>554</v>
      </c>
      <c r="AZ30" s="37">
        <v>0</v>
      </c>
      <c r="BA30" s="37">
        <v>0</v>
      </c>
      <c r="BB30" s="3"/>
      <c r="BC30" s="3"/>
      <c r="BD30" s="3"/>
      <c r="BG30" s="3"/>
    </row>
    <row r="31" spans="1:59" ht="12.75" customHeight="1" x14ac:dyDescent="0.2">
      <c r="A31" s="7"/>
      <c r="B31" s="6" t="s">
        <v>160</v>
      </c>
      <c r="C31" s="171">
        <f t="shared" si="2"/>
        <v>0</v>
      </c>
      <c r="D31" s="26">
        <v>0</v>
      </c>
      <c r="E31" s="353"/>
      <c r="F31" s="512"/>
      <c r="G31" s="512"/>
      <c r="H31" s="512"/>
      <c r="I31" s="26">
        <v>0</v>
      </c>
      <c r="J31" s="512">
        <v>0</v>
      </c>
      <c r="K31" s="512">
        <v>2985</v>
      </c>
      <c r="L31" s="512">
        <v>3820</v>
      </c>
      <c r="M31" s="26">
        <v>0</v>
      </c>
      <c r="N31" s="28">
        <v>2758</v>
      </c>
      <c r="O31" s="28">
        <v>408</v>
      </c>
      <c r="P31" s="28">
        <v>0</v>
      </c>
      <c r="Q31" s="26">
        <v>0</v>
      </c>
      <c r="R31" s="28">
        <v>0</v>
      </c>
      <c r="S31" s="28">
        <v>0</v>
      </c>
      <c r="T31" s="28">
        <v>0</v>
      </c>
      <c r="U31" s="26">
        <v>0</v>
      </c>
      <c r="V31" s="28">
        <v>0</v>
      </c>
      <c r="W31" s="28">
        <v>0</v>
      </c>
      <c r="X31" s="28">
        <v>0</v>
      </c>
      <c r="Y31" s="26">
        <v>0</v>
      </c>
      <c r="Z31" s="103">
        <v>0</v>
      </c>
      <c r="AA31" s="163">
        <v>3623</v>
      </c>
      <c r="AB31" s="103">
        <v>0</v>
      </c>
      <c r="AC31" s="104">
        <v>0</v>
      </c>
      <c r="AD31" s="103">
        <v>0</v>
      </c>
      <c r="AE31" s="103">
        <v>0</v>
      </c>
      <c r="AF31" s="103">
        <v>0</v>
      </c>
      <c r="AG31" s="104">
        <v>0</v>
      </c>
      <c r="AH31" s="105">
        <v>0</v>
      </c>
      <c r="AI31" s="104">
        <v>0</v>
      </c>
      <c r="AJ31" s="167"/>
      <c r="AK31" s="167"/>
      <c r="AL31" s="134"/>
      <c r="AM31" s="28">
        <f t="shared" si="4"/>
        <v>6805</v>
      </c>
      <c r="AN31" s="28">
        <f t="shared" si="5"/>
        <v>408</v>
      </c>
      <c r="AO31" s="183">
        <f t="shared" si="6"/>
        <v>3639</v>
      </c>
      <c r="AP31" s="503" t="s">
        <v>42</v>
      </c>
      <c r="AQ31" s="174"/>
      <c r="AR31" s="375">
        <f t="shared" si="10"/>
        <v>6805</v>
      </c>
      <c r="AS31" s="375">
        <f t="shared" si="9"/>
        <v>3166</v>
      </c>
      <c r="AT31" s="399">
        <v>0</v>
      </c>
      <c r="AU31" s="37">
        <v>0</v>
      </c>
      <c r="AV31" s="504">
        <v>3623</v>
      </c>
      <c r="AW31" s="26">
        <v>0</v>
      </c>
      <c r="AX31" s="37">
        <v>0</v>
      </c>
      <c r="AY31" s="37">
        <v>0</v>
      </c>
      <c r="AZ31" s="37">
        <v>0</v>
      </c>
      <c r="BA31" s="37">
        <v>0</v>
      </c>
      <c r="BB31" s="3"/>
      <c r="BC31" s="3"/>
      <c r="BD31" s="3"/>
      <c r="BG31" s="3"/>
    </row>
    <row r="32" spans="1:59" s="485" customFormat="1" ht="12.75" customHeight="1" x14ac:dyDescent="0.2">
      <c r="A32" s="7"/>
      <c r="B32" s="6" t="s">
        <v>181</v>
      </c>
      <c r="C32" s="171">
        <f t="shared" si="2"/>
        <v>0</v>
      </c>
      <c r="D32" s="26">
        <v>0</v>
      </c>
      <c r="E32" s="502"/>
      <c r="F32" s="512"/>
      <c r="G32" s="512"/>
      <c r="H32" s="512"/>
      <c r="I32" s="26">
        <v>0</v>
      </c>
      <c r="J32" s="512">
        <v>0</v>
      </c>
      <c r="K32" s="512">
        <v>0</v>
      </c>
      <c r="L32" s="512">
        <v>0</v>
      </c>
      <c r="M32" s="26">
        <v>0</v>
      </c>
      <c r="N32" s="512">
        <v>437</v>
      </c>
      <c r="O32" s="512">
        <v>0</v>
      </c>
      <c r="P32" s="512">
        <v>0</v>
      </c>
      <c r="Q32" s="26">
        <v>0</v>
      </c>
      <c r="R32" s="512">
        <v>0</v>
      </c>
      <c r="S32" s="512">
        <v>0</v>
      </c>
      <c r="T32" s="512">
        <v>0</v>
      </c>
      <c r="U32" s="26">
        <v>0</v>
      </c>
      <c r="V32" s="512">
        <v>0</v>
      </c>
      <c r="W32" s="512"/>
      <c r="X32" s="512"/>
      <c r="Y32" s="26"/>
      <c r="Z32" s="512"/>
      <c r="AA32" s="505"/>
      <c r="AB32" s="512"/>
      <c r="AC32" s="26"/>
      <c r="AD32" s="512"/>
      <c r="AE32" s="512"/>
      <c r="AF32" s="512"/>
      <c r="AG32" s="512"/>
      <c r="AH32" s="37"/>
      <c r="AI32" s="26"/>
      <c r="AJ32" s="506"/>
      <c r="AK32" s="506"/>
      <c r="AL32" s="134"/>
      <c r="AM32" s="512">
        <f t="shared" si="4"/>
        <v>0</v>
      </c>
      <c r="AN32" s="512">
        <f t="shared" si="5"/>
        <v>0</v>
      </c>
      <c r="AO32" s="183">
        <f t="shared" si="6"/>
        <v>-437</v>
      </c>
      <c r="AP32" s="503">
        <v>0</v>
      </c>
      <c r="AQ32" s="174"/>
      <c r="AR32" s="399">
        <f t="shared" si="10"/>
        <v>0</v>
      </c>
      <c r="AS32" s="375">
        <f t="shared" si="9"/>
        <v>437</v>
      </c>
      <c r="AT32" s="399">
        <v>0</v>
      </c>
      <c r="AU32" s="37">
        <v>0</v>
      </c>
      <c r="AV32" s="37">
        <v>0</v>
      </c>
      <c r="AW32" s="26">
        <v>0</v>
      </c>
      <c r="AX32" s="37"/>
      <c r="AY32" s="37"/>
      <c r="AZ32" s="37"/>
      <c r="BA32" s="37"/>
      <c r="BB32" s="486"/>
      <c r="BC32" s="486"/>
      <c r="BD32" s="486"/>
      <c r="BG32" s="486"/>
    </row>
    <row r="33" spans="1:59" ht="12.75" customHeight="1" x14ac:dyDescent="0.2">
      <c r="A33" s="7"/>
      <c r="B33" s="6" t="s">
        <v>158</v>
      </c>
      <c r="C33" s="171">
        <f t="shared" si="2"/>
        <v>0</v>
      </c>
      <c r="D33" s="26">
        <v>0</v>
      </c>
      <c r="E33" s="353"/>
      <c r="F33" s="103"/>
      <c r="G33" s="103"/>
      <c r="H33" s="103"/>
      <c r="I33" s="26">
        <v>0</v>
      </c>
      <c r="J33" s="103">
        <v>0</v>
      </c>
      <c r="K33" s="103">
        <v>0</v>
      </c>
      <c r="L33" s="103">
        <v>0</v>
      </c>
      <c r="M33" s="26">
        <v>0</v>
      </c>
      <c r="N33" s="28">
        <v>0</v>
      </c>
      <c r="O33" s="103">
        <v>0</v>
      </c>
      <c r="P33" s="103">
        <v>0</v>
      </c>
      <c r="Q33" s="26">
        <v>0</v>
      </c>
      <c r="R33" s="28">
        <v>0</v>
      </c>
      <c r="S33" s="103">
        <v>0</v>
      </c>
      <c r="T33" s="28">
        <v>0</v>
      </c>
      <c r="U33" s="26">
        <v>0</v>
      </c>
      <c r="V33" s="28">
        <v>0</v>
      </c>
      <c r="W33" s="28">
        <v>0</v>
      </c>
      <c r="X33" s="28">
        <v>0</v>
      </c>
      <c r="Y33" s="26">
        <v>0</v>
      </c>
      <c r="Z33" s="28">
        <v>0</v>
      </c>
      <c r="AA33" s="163">
        <v>27566</v>
      </c>
      <c r="AB33" s="28">
        <v>0</v>
      </c>
      <c r="AC33" s="26">
        <v>0</v>
      </c>
      <c r="AD33" s="28">
        <v>0</v>
      </c>
      <c r="AE33" s="28">
        <v>0</v>
      </c>
      <c r="AF33" s="28">
        <v>0</v>
      </c>
      <c r="AG33" s="28">
        <v>0</v>
      </c>
      <c r="AH33" s="37">
        <v>0</v>
      </c>
      <c r="AI33" s="26">
        <v>0</v>
      </c>
      <c r="AJ33" s="167"/>
      <c r="AK33" s="167"/>
      <c r="AL33" s="134"/>
      <c r="AM33" s="28">
        <f t="shared" si="4"/>
        <v>0</v>
      </c>
      <c r="AN33" s="103">
        <f t="shared" si="5"/>
        <v>0</v>
      </c>
      <c r="AO33" s="183">
        <f t="shared" si="6"/>
        <v>0</v>
      </c>
      <c r="AP33" s="351" t="s">
        <v>194</v>
      </c>
      <c r="AQ33" s="174"/>
      <c r="AR33" s="399">
        <f t="shared" si="10"/>
        <v>0</v>
      </c>
      <c r="AS33" s="399">
        <f t="shared" si="9"/>
        <v>0</v>
      </c>
      <c r="AT33" s="399">
        <v>0</v>
      </c>
      <c r="AU33" s="37">
        <v>0</v>
      </c>
      <c r="AV33" s="504">
        <v>27566</v>
      </c>
      <c r="AW33" s="26">
        <v>0</v>
      </c>
      <c r="AX33" s="37">
        <v>0</v>
      </c>
      <c r="AY33" s="37">
        <v>0</v>
      </c>
      <c r="AZ33" s="37">
        <v>0</v>
      </c>
      <c r="BA33" s="37">
        <v>0</v>
      </c>
      <c r="BB33" s="3"/>
      <c r="BC33" s="3"/>
      <c r="BD33" s="3"/>
      <c r="BG33" s="3"/>
    </row>
    <row r="34" spans="1:59" ht="12.75" customHeight="1" x14ac:dyDescent="0.2">
      <c r="A34" s="7"/>
      <c r="B34" s="6"/>
      <c r="C34" s="176">
        <f t="shared" si="2"/>
        <v>5076</v>
      </c>
      <c r="D34" s="114">
        <f>IF(OR((C34/M34)&gt;3,(C34/M34)&lt;-3),"n.m.",(C34/M34))</f>
        <v>0.12428382547377699</v>
      </c>
      <c r="E34" s="353"/>
      <c r="F34" s="164">
        <f t="shared" ref="F34:N34" si="12">SUM(F21:F33)</f>
        <v>0</v>
      </c>
      <c r="G34" s="164">
        <f t="shared" si="12"/>
        <v>0</v>
      </c>
      <c r="H34" s="164">
        <f t="shared" si="12"/>
        <v>0</v>
      </c>
      <c r="I34" s="178">
        <f t="shared" si="12"/>
        <v>45918</v>
      </c>
      <c r="J34" s="164">
        <f t="shared" si="12"/>
        <v>41443</v>
      </c>
      <c r="K34" s="164">
        <f t="shared" si="12"/>
        <v>39193</v>
      </c>
      <c r="L34" s="164">
        <f t="shared" si="12"/>
        <v>42669</v>
      </c>
      <c r="M34" s="178">
        <f t="shared" si="12"/>
        <v>40842</v>
      </c>
      <c r="N34" s="164">
        <f t="shared" si="12"/>
        <v>26879</v>
      </c>
      <c r="O34" s="164">
        <f>SUM(O24:O33,O21:O22)</f>
        <v>19473</v>
      </c>
      <c r="P34" s="164">
        <f t="shared" ref="P34:U34" si="13">SUM(P21:P33)</f>
        <v>20340</v>
      </c>
      <c r="Q34" s="178">
        <f t="shared" si="13"/>
        <v>23902</v>
      </c>
      <c r="R34" s="164">
        <f t="shared" si="13"/>
        <v>23515</v>
      </c>
      <c r="S34" s="164">
        <f t="shared" si="13"/>
        <v>27752</v>
      </c>
      <c r="T34" s="177">
        <f t="shared" si="13"/>
        <v>20429</v>
      </c>
      <c r="U34" s="178">
        <f t="shared" si="13"/>
        <v>22719</v>
      </c>
      <c r="V34" s="177">
        <v>18936</v>
      </c>
      <c r="W34" s="164">
        <v>22225</v>
      </c>
      <c r="X34" s="177">
        <v>25687</v>
      </c>
      <c r="Y34" s="178">
        <v>24938</v>
      </c>
      <c r="Z34" s="177">
        <v>20382</v>
      </c>
      <c r="AA34" s="164">
        <v>52500</v>
      </c>
      <c r="AB34" s="177">
        <v>22165</v>
      </c>
      <c r="AC34" s="178">
        <v>24603</v>
      </c>
      <c r="AD34" s="177">
        <v>28700</v>
      </c>
      <c r="AE34" s="164">
        <v>23749</v>
      </c>
      <c r="AF34" s="164">
        <v>23836</v>
      </c>
      <c r="AG34" s="178">
        <v>25278</v>
      </c>
      <c r="AH34" s="133">
        <v>23039</v>
      </c>
      <c r="AI34" s="178">
        <v>20245</v>
      </c>
      <c r="AJ34" s="178">
        <v>19222</v>
      </c>
      <c r="AK34" s="178">
        <v>21797</v>
      </c>
      <c r="AL34" s="134"/>
      <c r="AM34" s="177">
        <f>SUM(AM21:AM33)</f>
        <v>122704</v>
      </c>
      <c r="AN34" s="177">
        <f>SUM(AN21:AN33)</f>
        <v>63715</v>
      </c>
      <c r="AO34" s="177">
        <f t="shared" si="6"/>
        <v>73553</v>
      </c>
      <c r="AP34" s="114">
        <f>AO34/AS34</f>
        <v>0.8118970351237389</v>
      </c>
      <c r="AQ34" s="174"/>
      <c r="AR34" s="133">
        <f>SUM(AR21:AR33)</f>
        <v>164147</v>
      </c>
      <c r="AS34" s="133">
        <f>SUM(AS21:AS33)</f>
        <v>90594</v>
      </c>
      <c r="AT34" s="133">
        <f>SUM(AT21:AT33)</f>
        <v>94415</v>
      </c>
      <c r="AU34" s="133">
        <v>91786</v>
      </c>
      <c r="AV34" s="178">
        <v>119650</v>
      </c>
      <c r="AW34" s="178">
        <v>101563</v>
      </c>
      <c r="AX34" s="178">
        <v>84303</v>
      </c>
      <c r="AY34" s="222">
        <v>16880</v>
      </c>
      <c r="AZ34" s="222">
        <v>0</v>
      </c>
      <c r="BA34" s="222">
        <v>0</v>
      </c>
      <c r="BB34" s="3"/>
      <c r="BC34" s="3"/>
      <c r="BD34" s="3"/>
      <c r="BG34" s="3"/>
    </row>
    <row r="35" spans="1:59" s="485" customFormat="1" ht="12.75" customHeight="1" thickBot="1" x14ac:dyDescent="0.25">
      <c r="A35" s="2491" t="s">
        <v>341</v>
      </c>
      <c r="B35" s="2492"/>
      <c r="C35" s="180" t="e">
        <f t="shared" si="2"/>
        <v>#REF!</v>
      </c>
      <c r="D35" s="123" t="e">
        <f>-IF(OR((C35/M35)&gt;3,(C35/M35)&lt;-3),"n.m.",(C35/M35))</f>
        <v>#REF!</v>
      </c>
      <c r="E35" s="502"/>
      <c r="F35" s="181" t="e">
        <f t="shared" ref="F35:M35" si="14">+F17-F34</f>
        <v>#REF!</v>
      </c>
      <c r="G35" s="181" t="e">
        <f t="shared" si="14"/>
        <v>#REF!</v>
      </c>
      <c r="H35" s="181" t="e">
        <f t="shared" si="14"/>
        <v>#REF!</v>
      </c>
      <c r="I35" s="182" t="e">
        <f t="shared" si="14"/>
        <v>#REF!</v>
      </c>
      <c r="J35" s="181" t="e">
        <f t="shared" si="14"/>
        <v>#REF!</v>
      </c>
      <c r="K35" s="181" t="e">
        <f t="shared" si="14"/>
        <v>#REF!</v>
      </c>
      <c r="L35" s="181" t="e">
        <f t="shared" si="14"/>
        <v>#REF!</v>
      </c>
      <c r="M35" s="182" t="e">
        <f t="shared" si="14"/>
        <v>#REF!</v>
      </c>
      <c r="N35" s="181" t="e">
        <f>N17-N34</f>
        <v>#REF!</v>
      </c>
      <c r="O35" s="181" t="e">
        <f t="shared" ref="O35:U35" si="15">O17-O34</f>
        <v>#REF!</v>
      </c>
      <c r="P35" s="181" t="e">
        <f t="shared" si="15"/>
        <v>#REF!</v>
      </c>
      <c r="Q35" s="182" t="e">
        <f t="shared" si="15"/>
        <v>#REF!</v>
      </c>
      <c r="R35" s="181">
        <f t="shared" si="15"/>
        <v>5683</v>
      </c>
      <c r="S35" s="181">
        <f t="shared" si="15"/>
        <v>6421</v>
      </c>
      <c r="T35" s="181">
        <f t="shared" si="15"/>
        <v>664</v>
      </c>
      <c r="U35" s="182">
        <f t="shared" si="15"/>
        <v>3987</v>
      </c>
      <c r="V35" s="181">
        <v>1348</v>
      </c>
      <c r="W35" s="181">
        <v>592</v>
      </c>
      <c r="X35" s="181">
        <v>4450</v>
      </c>
      <c r="Y35" s="182">
        <v>2241</v>
      </c>
      <c r="Z35" s="181">
        <v>-3170</v>
      </c>
      <c r="AA35" s="181">
        <v>-35967</v>
      </c>
      <c r="AB35" s="181">
        <v>-3881</v>
      </c>
      <c r="AC35" s="182">
        <v>1018</v>
      </c>
      <c r="AD35" s="181">
        <v>-4631</v>
      </c>
      <c r="AE35" s="164"/>
      <c r="AF35" s="164"/>
      <c r="AG35" s="165"/>
      <c r="AH35" s="504"/>
      <c r="AI35" s="165"/>
      <c r="AJ35" s="165"/>
      <c r="AK35" s="165"/>
      <c r="AL35" s="134"/>
      <c r="AM35" s="458" t="e">
        <f>AM17-AM34</f>
        <v>#REF!</v>
      </c>
      <c r="AN35" s="242" t="e">
        <f>AN17-AN34</f>
        <v>#REF!</v>
      </c>
      <c r="AO35" s="242" t="e">
        <f t="shared" si="6"/>
        <v>#REF!</v>
      </c>
      <c r="AP35" s="123" t="e">
        <f>-IF(OR((AO35/AS35)&gt;3,(AO35/AS35)&lt;-3),"n.m.",(AO35/AS35))</f>
        <v>#REF!</v>
      </c>
      <c r="AQ35" s="174"/>
      <c r="AR35" s="245" t="e">
        <f>AR17-AR34</f>
        <v>#REF!</v>
      </c>
      <c r="AS35" s="245" t="e">
        <f>AS17-AS34</f>
        <v>#REF!</v>
      </c>
      <c r="AT35" s="245">
        <f>AT17-AT34</f>
        <v>16755</v>
      </c>
      <c r="AU35" s="139">
        <v>8631</v>
      </c>
      <c r="AV35" s="139">
        <v>-42000</v>
      </c>
      <c r="AW35" s="139">
        <v>-7359</v>
      </c>
      <c r="AX35" s="139">
        <v>-3630</v>
      </c>
      <c r="AY35" s="223">
        <f>AY17-AY34</f>
        <v>3081</v>
      </c>
      <c r="AZ35" s="223">
        <f>AZ17-AZ34</f>
        <v>0</v>
      </c>
      <c r="BA35" s="315"/>
      <c r="BB35" s="23"/>
      <c r="BC35" s="486"/>
      <c r="BD35" s="486"/>
      <c r="BG35" s="486"/>
    </row>
    <row r="36" spans="1:59" s="485" customFormat="1" ht="12.75" customHeight="1" thickTop="1" x14ac:dyDescent="0.2">
      <c r="A36" s="7"/>
      <c r="B36" s="278"/>
      <c r="C36" s="505"/>
      <c r="D36" s="503"/>
      <c r="E36" s="503"/>
      <c r="F36" s="505"/>
      <c r="G36" s="505"/>
      <c r="H36" s="505"/>
      <c r="I36" s="506"/>
      <c r="J36" s="505"/>
      <c r="K36" s="505"/>
      <c r="L36" s="505"/>
      <c r="M36" s="506"/>
      <c r="N36" s="505"/>
      <c r="O36" s="505"/>
      <c r="P36" s="505"/>
      <c r="Q36" s="506"/>
      <c r="R36" s="505"/>
      <c r="S36" s="505"/>
      <c r="T36" s="505"/>
      <c r="U36" s="506"/>
      <c r="V36" s="505"/>
      <c r="W36" s="505"/>
      <c r="X36" s="505"/>
      <c r="Y36" s="506"/>
      <c r="Z36" s="505"/>
      <c r="AA36" s="505"/>
      <c r="AB36" s="505"/>
      <c r="AC36" s="506"/>
      <c r="AD36" s="506"/>
      <c r="AE36" s="505"/>
      <c r="AF36" s="505"/>
      <c r="AG36" s="505"/>
      <c r="AH36" s="505"/>
      <c r="AI36" s="505"/>
      <c r="AJ36" s="505"/>
      <c r="AK36" s="505"/>
      <c r="AL36" s="332"/>
      <c r="AM36" s="172"/>
      <c r="AN36" s="172"/>
      <c r="AO36" s="183"/>
      <c r="AP36" s="503"/>
      <c r="AQ36" s="332"/>
      <c r="AR36" s="567"/>
      <c r="AS36" s="567"/>
      <c r="AT36" s="567"/>
      <c r="AU36" s="557"/>
      <c r="AV36" s="557"/>
      <c r="AW36" s="506"/>
      <c r="AX36" s="506"/>
      <c r="AY36" s="26"/>
      <c r="AZ36" s="26"/>
      <c r="BA36" s="102"/>
      <c r="BB36" s="486"/>
      <c r="BC36" s="486"/>
      <c r="BD36" s="486"/>
      <c r="BG36" s="486"/>
    </row>
    <row r="37" spans="1:59" s="485" customFormat="1" ht="12.75" hidden="1" customHeight="1" outlineLevel="1" x14ac:dyDescent="0.2">
      <c r="A37" s="7"/>
      <c r="B37" s="278" t="s">
        <v>344</v>
      </c>
      <c r="C37" s="171">
        <f t="shared" si="2"/>
        <v>831</v>
      </c>
      <c r="D37" s="503" t="s">
        <v>42</v>
      </c>
      <c r="E37" s="503"/>
      <c r="F37" s="505"/>
      <c r="G37" s="505"/>
      <c r="H37" s="505"/>
      <c r="I37" s="506">
        <f>+-'7 Canada'!I39</f>
        <v>831</v>
      </c>
      <c r="J37" s="530">
        <v>0</v>
      </c>
      <c r="K37" s="530">
        <v>0</v>
      </c>
      <c r="L37" s="530">
        <v>0</v>
      </c>
      <c r="M37" s="547">
        <v>0</v>
      </c>
      <c r="N37" s="530">
        <v>0</v>
      </c>
      <c r="O37" s="530">
        <v>0</v>
      </c>
      <c r="P37" s="530">
        <v>0</v>
      </c>
      <c r="Q37" s="547">
        <v>0</v>
      </c>
      <c r="R37" s="142"/>
      <c r="S37" s="142"/>
      <c r="T37" s="142"/>
      <c r="U37" s="146"/>
      <c r="V37" s="142"/>
      <c r="W37" s="142"/>
      <c r="X37" s="142"/>
      <c r="Y37" s="146"/>
      <c r="Z37" s="142"/>
      <c r="AA37" s="142"/>
      <c r="AB37" s="142"/>
      <c r="AC37" s="146"/>
      <c r="AD37" s="146"/>
      <c r="AE37" s="252"/>
      <c r="AF37" s="252"/>
      <c r="AG37" s="150"/>
      <c r="AH37" s="150"/>
      <c r="AI37" s="150"/>
      <c r="AJ37" s="150"/>
      <c r="AK37" s="150"/>
      <c r="AL37" s="110"/>
      <c r="AM37" s="488"/>
      <c r="AN37" s="488"/>
      <c r="AO37" s="512"/>
      <c r="AP37" s="503"/>
      <c r="AQ37" s="110"/>
      <c r="AR37" s="554">
        <v>0</v>
      </c>
      <c r="AS37" s="554">
        <v>0</v>
      </c>
      <c r="AT37" s="554">
        <v>0</v>
      </c>
      <c r="AU37" s="554">
        <v>0</v>
      </c>
      <c r="AV37" s="554">
        <v>0</v>
      </c>
      <c r="AW37" s="506">
        <v>960</v>
      </c>
      <c r="AX37" s="506">
        <v>-1614</v>
      </c>
      <c r="AY37" s="26">
        <v>1728</v>
      </c>
      <c r="AZ37" s="26">
        <v>0</v>
      </c>
      <c r="BA37" s="102"/>
      <c r="BB37" s="486"/>
      <c r="BC37" s="486"/>
      <c r="BD37" s="486"/>
      <c r="BG37" s="486"/>
    </row>
    <row r="38" spans="1:59" s="485" customFormat="1" ht="12.75" hidden="1" customHeight="1" outlineLevel="1" x14ac:dyDescent="0.2">
      <c r="A38" s="7"/>
      <c r="B38" s="278" t="s">
        <v>342</v>
      </c>
      <c r="C38" s="179">
        <f t="shared" si="2"/>
        <v>-98</v>
      </c>
      <c r="D38" s="95" t="s">
        <v>42</v>
      </c>
      <c r="E38" s="503"/>
      <c r="F38" s="505"/>
      <c r="G38" s="505"/>
      <c r="H38" s="505"/>
      <c r="I38" s="170">
        <v>-98</v>
      </c>
      <c r="J38" s="569">
        <v>0</v>
      </c>
      <c r="K38" s="569">
        <v>0</v>
      </c>
      <c r="L38" s="569">
        <v>0</v>
      </c>
      <c r="M38" s="570">
        <v>0</v>
      </c>
      <c r="N38" s="569">
        <v>0</v>
      </c>
      <c r="O38" s="569">
        <v>0</v>
      </c>
      <c r="P38" s="569">
        <v>0</v>
      </c>
      <c r="Q38" s="570">
        <v>0</v>
      </c>
      <c r="R38" s="142"/>
      <c r="S38" s="142"/>
      <c r="T38" s="142"/>
      <c r="U38" s="146"/>
      <c r="V38" s="142"/>
      <c r="W38" s="142"/>
      <c r="X38" s="142"/>
      <c r="Y38" s="146"/>
      <c r="Z38" s="142"/>
      <c r="AA38" s="142"/>
      <c r="AB38" s="142"/>
      <c r="AC38" s="146"/>
      <c r="AD38" s="142"/>
      <c r="AE38" s="142"/>
      <c r="AF38" s="142"/>
      <c r="AG38" s="142"/>
      <c r="AH38" s="142"/>
      <c r="AI38" s="142"/>
      <c r="AJ38" s="142"/>
      <c r="AK38" s="142"/>
      <c r="AL38" s="110"/>
      <c r="AM38" s="488"/>
      <c r="AN38" s="488"/>
      <c r="AO38" s="512"/>
      <c r="AP38" s="503"/>
      <c r="AQ38" s="488"/>
      <c r="AR38" s="571">
        <v>0</v>
      </c>
      <c r="AS38" s="571">
        <v>0</v>
      </c>
      <c r="AT38" s="571">
        <v>0</v>
      </c>
      <c r="AU38" s="571">
        <v>0</v>
      </c>
      <c r="AV38" s="571">
        <v>0</v>
      </c>
      <c r="AW38" s="506"/>
      <c r="AX38" s="506"/>
      <c r="AY38" s="26"/>
      <c r="AZ38" s="26"/>
      <c r="BA38" s="102"/>
      <c r="BB38" s="486"/>
      <c r="BC38" s="486"/>
      <c r="BD38" s="486"/>
      <c r="BG38" s="486"/>
    </row>
    <row r="39" spans="1:59" s="485" customFormat="1" ht="12.75" customHeight="1" collapsed="1" x14ac:dyDescent="0.2">
      <c r="A39" s="7"/>
      <c r="B39" s="6" t="s">
        <v>347</v>
      </c>
      <c r="C39" s="171">
        <f t="shared" si="2"/>
        <v>733</v>
      </c>
      <c r="D39" s="503" t="s">
        <v>42</v>
      </c>
      <c r="E39" s="503"/>
      <c r="F39" s="142"/>
      <c r="G39" s="142"/>
      <c r="H39" s="142"/>
      <c r="I39" s="146">
        <f>+I37+I38</f>
        <v>733</v>
      </c>
      <c r="J39" s="530">
        <v>0</v>
      </c>
      <c r="K39" s="530">
        <v>0</v>
      </c>
      <c r="L39" s="530">
        <v>0</v>
      </c>
      <c r="M39" s="547">
        <v>0</v>
      </c>
      <c r="N39" s="530">
        <v>0</v>
      </c>
      <c r="O39" s="530">
        <v>0</v>
      </c>
      <c r="P39" s="530">
        <v>0</v>
      </c>
      <c r="Q39" s="547">
        <v>0</v>
      </c>
      <c r="R39" s="142"/>
      <c r="S39" s="142"/>
      <c r="T39" s="142"/>
      <c r="U39" s="146"/>
      <c r="V39" s="142"/>
      <c r="W39" s="142"/>
      <c r="X39" s="142"/>
      <c r="Y39" s="146"/>
      <c r="Z39" s="142"/>
      <c r="AA39" s="142"/>
      <c r="AB39" s="142"/>
      <c r="AC39" s="146"/>
      <c r="AD39" s="146"/>
      <c r="AE39" s="252"/>
      <c r="AF39" s="252"/>
      <c r="AG39" s="150"/>
      <c r="AH39" s="150"/>
      <c r="AI39" s="150"/>
      <c r="AJ39" s="150"/>
      <c r="AK39" s="150"/>
      <c r="AL39" s="110"/>
      <c r="AM39" s="488"/>
      <c r="AN39" s="488"/>
      <c r="AO39" s="512"/>
      <c r="AP39" s="503"/>
      <c r="AQ39" s="110"/>
      <c r="AR39" s="554">
        <v>0</v>
      </c>
      <c r="AS39" s="554">
        <v>0</v>
      </c>
      <c r="AT39" s="554">
        <v>0</v>
      </c>
      <c r="AU39" s="554">
        <v>0</v>
      </c>
      <c r="AV39" s="554">
        <v>0</v>
      </c>
      <c r="AW39" s="506"/>
      <c r="AX39" s="506"/>
      <c r="AY39" s="512"/>
      <c r="AZ39" s="26"/>
      <c r="BA39" s="102"/>
      <c r="BB39" s="488"/>
      <c r="BC39" s="488"/>
      <c r="BG39" s="486"/>
    </row>
    <row r="40" spans="1:59" s="485" customFormat="1" ht="12.75" customHeight="1" x14ac:dyDescent="0.2">
      <c r="A40" s="7"/>
      <c r="B40" s="6"/>
      <c r="C40" s="495"/>
      <c r="D40" s="503"/>
      <c r="E40" s="502"/>
      <c r="F40" s="505"/>
      <c r="G40" s="505"/>
      <c r="H40" s="505"/>
      <c r="I40" s="506"/>
      <c r="J40" s="505"/>
      <c r="K40" s="505"/>
      <c r="L40" s="505"/>
      <c r="M40" s="506"/>
      <c r="N40" s="505"/>
      <c r="O40" s="505"/>
      <c r="P40" s="505"/>
      <c r="Q40" s="506"/>
      <c r="R40" s="505"/>
      <c r="S40" s="505"/>
      <c r="T40" s="505"/>
      <c r="U40" s="506"/>
      <c r="V40" s="505"/>
      <c r="W40" s="505"/>
      <c r="X40" s="505"/>
      <c r="Y40" s="506"/>
      <c r="Z40" s="505"/>
      <c r="AA40" s="169"/>
      <c r="AB40" s="169"/>
      <c r="AC40" s="170"/>
      <c r="AD40" s="505"/>
      <c r="AE40" s="505"/>
      <c r="AF40" s="505"/>
      <c r="AG40" s="506"/>
      <c r="AH40" s="504"/>
      <c r="AI40" s="506"/>
      <c r="AJ40" s="506"/>
      <c r="AK40" s="506"/>
      <c r="AL40" s="134"/>
      <c r="AM40" s="172"/>
      <c r="AN40" s="172"/>
      <c r="AO40" s="183"/>
      <c r="AP40" s="503"/>
      <c r="AQ40" s="174"/>
      <c r="AR40" s="193"/>
      <c r="AS40" s="193"/>
      <c r="AT40" s="193"/>
      <c r="AU40" s="137"/>
      <c r="AV40" s="137"/>
      <c r="AW40" s="504"/>
      <c r="AX40" s="504"/>
      <c r="AY40" s="37"/>
      <c r="AZ40" s="37"/>
      <c r="BA40" s="227"/>
      <c r="BB40" s="486"/>
      <c r="BC40" s="486"/>
      <c r="BD40" s="486"/>
      <c r="BG40" s="486"/>
    </row>
    <row r="41" spans="1:59" s="53" customFormat="1" ht="12.75" customHeight="1" thickBot="1" x14ac:dyDescent="0.25">
      <c r="A41" s="2491" t="s">
        <v>74</v>
      </c>
      <c r="B41" s="2492"/>
      <c r="C41" s="271" t="e">
        <f>I41-M41</f>
        <v>#REF!</v>
      </c>
      <c r="D41" s="123" t="e">
        <f>IF(OR((C41/M41)&gt;3,(C41/M41)&lt;-3),"n.m.",(C41/M41))</f>
        <v>#REF!</v>
      </c>
      <c r="E41" s="502"/>
      <c r="F41" s="181"/>
      <c r="G41" s="181"/>
      <c r="H41" s="181"/>
      <c r="I41" s="182" t="e">
        <f>+I35-I37-I38</f>
        <v>#REF!</v>
      </c>
      <c r="J41" s="181" t="e">
        <f t="shared" ref="J41:Q41" si="16">+J35-J37-J38</f>
        <v>#REF!</v>
      </c>
      <c r="K41" s="181" t="e">
        <f t="shared" si="16"/>
        <v>#REF!</v>
      </c>
      <c r="L41" s="181" t="e">
        <f t="shared" si="16"/>
        <v>#REF!</v>
      </c>
      <c r="M41" s="182" t="e">
        <f t="shared" si="16"/>
        <v>#REF!</v>
      </c>
      <c r="N41" s="181" t="e">
        <f t="shared" si="16"/>
        <v>#REF!</v>
      </c>
      <c r="O41" s="181" t="e">
        <f t="shared" si="16"/>
        <v>#REF!</v>
      </c>
      <c r="P41" s="181" t="e">
        <f t="shared" si="16"/>
        <v>#REF!</v>
      </c>
      <c r="Q41" s="182" t="e">
        <f t="shared" si="16"/>
        <v>#REF!</v>
      </c>
      <c r="R41" s="181"/>
      <c r="S41" s="181"/>
      <c r="T41" s="181"/>
      <c r="U41" s="182"/>
      <c r="V41" s="181">
        <v>1348</v>
      </c>
      <c r="W41" s="181">
        <v>592</v>
      </c>
      <c r="X41" s="181">
        <v>4517</v>
      </c>
      <c r="Y41" s="182">
        <v>2142</v>
      </c>
      <c r="Z41" s="181">
        <v>-3222</v>
      </c>
      <c r="AA41" s="277">
        <v>-35967</v>
      </c>
      <c r="AB41" s="277">
        <v>-3881</v>
      </c>
      <c r="AC41" s="279">
        <v>756</v>
      </c>
      <c r="AD41" s="181">
        <v>-4551</v>
      </c>
      <c r="AE41" s="181">
        <v>-642</v>
      </c>
      <c r="AF41" s="181">
        <v>-3182</v>
      </c>
      <c r="AG41" s="182">
        <v>1096</v>
      </c>
      <c r="AH41" s="139">
        <v>-3204</v>
      </c>
      <c r="AI41" s="182">
        <v>-1632</v>
      </c>
      <c r="AJ41" s="182">
        <v>-477</v>
      </c>
      <c r="AK41" s="182">
        <v>2188</v>
      </c>
      <c r="AL41" s="134"/>
      <c r="AM41" s="172"/>
      <c r="AN41" s="172"/>
      <c r="AO41" s="242">
        <v>8599</v>
      </c>
      <c r="AP41" s="123" t="e">
        <v>#DIV/0!</v>
      </c>
      <c r="AQ41" s="174"/>
      <c r="AR41" s="245" t="e">
        <f>+AR35-AR37-AR38</f>
        <v>#REF!</v>
      </c>
      <c r="AS41" s="245" t="e">
        <f>+AS35-AS37-AS38</f>
        <v>#REF!</v>
      </c>
      <c r="AT41" s="245">
        <f>+AT35-AT37-AT38</f>
        <v>16755</v>
      </c>
      <c r="AU41" s="139">
        <f>+AU35-AU37-AU38</f>
        <v>8631</v>
      </c>
      <c r="AV41" s="139">
        <f>+AV35-AV37-AV38</f>
        <v>-42000</v>
      </c>
      <c r="AW41" s="139">
        <v>-8319</v>
      </c>
      <c r="AX41" s="139">
        <v>-2016</v>
      </c>
      <c r="AY41" s="223">
        <f>AY35-AY37</f>
        <v>1353</v>
      </c>
      <c r="AZ41" s="223">
        <f>AZ35-AZ37</f>
        <v>0</v>
      </c>
      <c r="BA41" s="223">
        <v>0</v>
      </c>
      <c r="BB41" s="486"/>
      <c r="BC41" s="140"/>
      <c r="BD41" s="140"/>
      <c r="BG41" s="140"/>
    </row>
    <row r="42" spans="1:59" s="53" customFormat="1" ht="12.75" customHeight="1" thickTop="1" x14ac:dyDescent="0.2">
      <c r="A42" s="89"/>
      <c r="B42" s="88"/>
      <c r="C42" s="163"/>
      <c r="D42" s="35"/>
      <c r="E42" s="35"/>
      <c r="F42" s="505"/>
      <c r="G42" s="505"/>
      <c r="H42" s="505"/>
      <c r="I42" s="505"/>
      <c r="J42" s="505"/>
      <c r="K42" s="505"/>
      <c r="L42" s="505"/>
      <c r="M42" s="505"/>
      <c r="N42" s="465"/>
      <c r="O42" s="465"/>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74"/>
      <c r="AM42" s="174"/>
      <c r="AN42" s="174"/>
      <c r="AO42" s="163"/>
      <c r="AP42" s="35"/>
      <c r="AQ42" s="174"/>
      <c r="AR42" s="172"/>
      <c r="AS42" s="172"/>
      <c r="AT42" s="172"/>
      <c r="AU42" s="163"/>
      <c r="AV42" s="537"/>
      <c r="AW42" s="536"/>
      <c r="AX42" s="163"/>
      <c r="AY42" s="28"/>
      <c r="AZ42" s="28"/>
      <c r="BA42" s="28"/>
      <c r="BB42" s="486"/>
      <c r="BC42" s="140"/>
      <c r="BD42" s="140"/>
      <c r="BG42" s="140"/>
    </row>
    <row r="43" spans="1:59" s="53" customFormat="1" ht="12.75" customHeight="1" x14ac:dyDescent="0.2">
      <c r="A43" s="6" t="s">
        <v>306</v>
      </c>
      <c r="B43" s="413"/>
      <c r="C43" s="157" t="e">
        <f t="shared" ref="C43:C49" si="17">((I43-M43)*100)</f>
        <v>#REF!</v>
      </c>
      <c r="D43" s="513"/>
      <c r="E43" s="513"/>
      <c r="F43" s="262" t="e">
        <f t="shared" ref="F43:I44" si="18">+F19/F$17</f>
        <v>#REF!</v>
      </c>
      <c r="G43" s="262" t="e">
        <f t="shared" si="18"/>
        <v>#REF!</v>
      </c>
      <c r="H43" s="262" t="e">
        <f t="shared" si="18"/>
        <v>#REF!</v>
      </c>
      <c r="I43" s="262" t="e">
        <f t="shared" si="18"/>
        <v>#REF!</v>
      </c>
      <c r="J43" s="262" t="e">
        <f t="shared" ref="J43:L44" si="19">+J19/J$17</f>
        <v>#REF!</v>
      </c>
      <c r="K43" s="262" t="e">
        <f t="shared" si="19"/>
        <v>#REF!</v>
      </c>
      <c r="L43" s="262" t="e">
        <f t="shared" si="19"/>
        <v>#REF!</v>
      </c>
      <c r="M43" s="262" t="e">
        <f t="shared" ref="M43:T43" si="20">+M19/M$17</f>
        <v>#REF!</v>
      </c>
      <c r="N43" s="262" t="e">
        <f t="shared" si="20"/>
        <v>#REF!</v>
      </c>
      <c r="O43" s="262" t="e">
        <f t="shared" si="20"/>
        <v>#REF!</v>
      </c>
      <c r="P43" s="262" t="e">
        <f t="shared" si="20"/>
        <v>#REF!</v>
      </c>
      <c r="Q43" s="262" t="e">
        <f t="shared" si="20"/>
        <v>#REF!</v>
      </c>
      <c r="R43" s="262">
        <f t="shared" si="20"/>
        <v>0.51500102746763476</v>
      </c>
      <c r="S43" s="262">
        <f t="shared" si="20"/>
        <v>0.52679015597108825</v>
      </c>
      <c r="T43" s="262">
        <f t="shared" si="20"/>
        <v>0.48532688569667665</v>
      </c>
      <c r="U43" s="505"/>
      <c r="V43" s="505"/>
      <c r="W43" s="505"/>
      <c r="X43" s="505"/>
      <c r="Y43" s="505"/>
      <c r="Z43" s="505"/>
      <c r="AA43" s="505"/>
      <c r="AB43" s="505"/>
      <c r="AC43" s="505"/>
      <c r="AD43" s="505"/>
      <c r="AE43" s="505"/>
      <c r="AF43" s="505"/>
      <c r="AG43" s="505"/>
      <c r="AH43" s="505"/>
      <c r="AI43" s="505"/>
      <c r="AJ43" s="505"/>
      <c r="AK43" s="505"/>
      <c r="AL43" s="174"/>
      <c r="AM43" s="262" t="e">
        <f>+AM19/AM$17</f>
        <v>#REF!</v>
      </c>
      <c r="AN43" s="262" t="e">
        <f>+AN19/AN$17</f>
        <v>#REF!</v>
      </c>
      <c r="AO43" s="388" t="e">
        <f t="shared" ref="AO43:AO49" si="21">(AR43-AS43)*100</f>
        <v>#REF!</v>
      </c>
      <c r="AP43" s="513"/>
      <c r="AQ43" s="174"/>
      <c r="AR43" s="262" t="e">
        <f t="shared" ref="AR43:AW44" si="22">+AR19/AR$17</f>
        <v>#REF!</v>
      </c>
      <c r="AS43" s="262" t="e">
        <f t="shared" si="22"/>
        <v>#REF!</v>
      </c>
      <c r="AT43" s="262">
        <f t="shared" si="22"/>
        <v>0.51079427903211294</v>
      </c>
      <c r="AU43" s="262">
        <f t="shared" si="22"/>
        <v>0.54261728591772307</v>
      </c>
      <c r="AV43" s="262">
        <f t="shared" si="22"/>
        <v>0.46202189311010944</v>
      </c>
      <c r="AW43" s="262">
        <f t="shared" si="22"/>
        <v>0.52591185087682046</v>
      </c>
      <c r="AX43" s="505"/>
      <c r="AY43" s="512"/>
      <c r="AZ43" s="512"/>
      <c r="BA43" s="512"/>
      <c r="BB43" s="486"/>
      <c r="BC43" s="140"/>
      <c r="BD43" s="140"/>
      <c r="BG43" s="140"/>
    </row>
    <row r="44" spans="1:59" s="53" customFormat="1" ht="12.75" customHeight="1" x14ac:dyDescent="0.2">
      <c r="A44" s="6" t="s">
        <v>307</v>
      </c>
      <c r="B44" s="413"/>
      <c r="C44" s="157" t="e">
        <f t="shared" si="17"/>
        <v>#REF!</v>
      </c>
      <c r="D44" s="513"/>
      <c r="E44" s="513"/>
      <c r="F44" s="262" t="e">
        <f t="shared" si="18"/>
        <v>#REF!</v>
      </c>
      <c r="G44" s="262" t="e">
        <f t="shared" si="18"/>
        <v>#REF!</v>
      </c>
      <c r="H44" s="262" t="e">
        <f t="shared" si="18"/>
        <v>#REF!</v>
      </c>
      <c r="I44" s="262" t="e">
        <f t="shared" si="18"/>
        <v>#REF!</v>
      </c>
      <c r="J44" s="262" t="e">
        <f t="shared" si="19"/>
        <v>#REF!</v>
      </c>
      <c r="K44" s="262" t="e">
        <f t="shared" si="19"/>
        <v>#REF!</v>
      </c>
      <c r="L44" s="262" t="e">
        <f t="shared" si="19"/>
        <v>#REF!</v>
      </c>
      <c r="M44" s="262" t="e">
        <f t="shared" ref="M44:T44" si="23">+M20/M$17</f>
        <v>#REF!</v>
      </c>
      <c r="N44" s="262" t="e">
        <f t="shared" si="23"/>
        <v>#REF!</v>
      </c>
      <c r="O44" s="262" t="e">
        <f t="shared" si="23"/>
        <v>#REF!</v>
      </c>
      <c r="P44" s="262" t="e">
        <f t="shared" si="23"/>
        <v>#REF!</v>
      </c>
      <c r="Q44" s="262" t="e">
        <f t="shared" si="23"/>
        <v>#REF!</v>
      </c>
      <c r="R44" s="262">
        <f t="shared" si="23"/>
        <v>1.1199397218987602E-2</v>
      </c>
      <c r="S44" s="262">
        <f t="shared" si="23"/>
        <v>1.1412518655078571E-2</v>
      </c>
      <c r="T44" s="262">
        <f t="shared" si="23"/>
        <v>6.1205139145688141E-2</v>
      </c>
      <c r="U44" s="505"/>
      <c r="V44" s="505"/>
      <c r="W44" s="505"/>
      <c r="X44" s="505"/>
      <c r="Y44" s="505"/>
      <c r="Z44" s="505"/>
      <c r="AA44" s="505"/>
      <c r="AB44" s="505"/>
      <c r="AC44" s="505"/>
      <c r="AD44" s="505"/>
      <c r="AE44" s="505"/>
      <c r="AF44" s="505"/>
      <c r="AG44" s="505"/>
      <c r="AH44" s="505"/>
      <c r="AI44" s="505"/>
      <c r="AJ44" s="505"/>
      <c r="AK44" s="505"/>
      <c r="AL44" s="174"/>
      <c r="AM44" s="262" t="e">
        <f>+AM20/AM$17</f>
        <v>#REF!</v>
      </c>
      <c r="AN44" s="262" t="e">
        <f>+AN20/AN$17</f>
        <v>#REF!</v>
      </c>
      <c r="AO44" s="388" t="e">
        <f t="shared" si="21"/>
        <v>#REF!</v>
      </c>
      <c r="AP44" s="513"/>
      <c r="AQ44" s="174"/>
      <c r="AR44" s="262" t="e">
        <f t="shared" si="22"/>
        <v>#REF!</v>
      </c>
      <c r="AS44" s="262" t="e">
        <f t="shared" si="22"/>
        <v>#REF!</v>
      </c>
      <c r="AT44" s="262">
        <f t="shared" si="22"/>
        <v>2.5717369794009175E-2</v>
      </c>
      <c r="AU44" s="262">
        <f t="shared" si="22"/>
        <v>5.8257068026330199E-3</v>
      </c>
      <c r="AV44" s="262">
        <f t="shared" si="22"/>
        <v>1.9446233097231167E-3</v>
      </c>
      <c r="AW44" s="32">
        <f t="shared" si="22"/>
        <v>-8.524054180289585E-3</v>
      </c>
      <c r="AX44" s="505"/>
      <c r="AY44" s="512"/>
      <c r="AZ44" s="512"/>
      <c r="BA44" s="512"/>
      <c r="BB44" s="486"/>
      <c r="BC44" s="140"/>
      <c r="BD44" s="140"/>
      <c r="BG44" s="140"/>
    </row>
    <row r="45" spans="1:59" s="53" customFormat="1" ht="12.75" customHeight="1" x14ac:dyDescent="0.2">
      <c r="A45" s="91" t="s">
        <v>76</v>
      </c>
      <c r="B45" s="88"/>
      <c r="C45" s="157" t="e">
        <f t="shared" si="17"/>
        <v>#REF!</v>
      </c>
      <c r="D45" s="32"/>
      <c r="E45" s="32"/>
      <c r="F45" s="32" t="e">
        <f t="shared" ref="F45:K45" si="24">F21/F17</f>
        <v>#REF!</v>
      </c>
      <c r="G45" s="32" t="e">
        <f t="shared" si="24"/>
        <v>#REF!</v>
      </c>
      <c r="H45" s="32" t="e">
        <f t="shared" si="24"/>
        <v>#REF!</v>
      </c>
      <c r="I45" s="32" t="e">
        <f t="shared" si="24"/>
        <v>#REF!</v>
      </c>
      <c r="J45" s="32" t="e">
        <f t="shared" si="24"/>
        <v>#REF!</v>
      </c>
      <c r="K45" s="32" t="e">
        <f t="shared" si="24"/>
        <v>#REF!</v>
      </c>
      <c r="L45" s="32" t="e">
        <f t="shared" ref="L45:Q45" si="25">L21/L17</f>
        <v>#REF!</v>
      </c>
      <c r="M45" s="32" t="e">
        <f t="shared" si="25"/>
        <v>#REF!</v>
      </c>
      <c r="N45" s="32" t="e">
        <f t="shared" si="25"/>
        <v>#REF!</v>
      </c>
      <c r="O45" s="32" t="e">
        <f t="shared" si="25"/>
        <v>#REF!</v>
      </c>
      <c r="P45" s="32" t="e">
        <f t="shared" si="25"/>
        <v>#REF!</v>
      </c>
      <c r="Q45" s="32" t="e">
        <f t="shared" si="25"/>
        <v>#REF!</v>
      </c>
      <c r="R45" s="32">
        <f>R21/R17</f>
        <v>0.52620042468662243</v>
      </c>
      <c r="S45" s="32">
        <f>S21/S17</f>
        <v>0.53820267462616689</v>
      </c>
      <c r="T45" s="32">
        <f>T21/T17</f>
        <v>0.54653202484236474</v>
      </c>
      <c r="U45" s="32">
        <f>U21/U17</f>
        <v>0.53770688234853592</v>
      </c>
      <c r="V45" s="32">
        <v>0.56147702622756857</v>
      </c>
      <c r="W45" s="32">
        <v>0.58158390673620541</v>
      </c>
      <c r="X45" s="32">
        <v>0.55350565749742842</v>
      </c>
      <c r="Y45" s="32">
        <v>0.50527981161926483</v>
      </c>
      <c r="Z45" s="32">
        <v>0.49459679293516151</v>
      </c>
      <c r="AA45" s="32">
        <v>0.49041311316760416</v>
      </c>
      <c r="AB45" s="32">
        <v>0.45988311759244088</v>
      </c>
      <c r="AC45" s="32">
        <v>0.42878888411849653</v>
      </c>
      <c r="AD45" s="32">
        <v>0.60099999999999998</v>
      </c>
      <c r="AE45" s="32">
        <v>0.53500000000000003</v>
      </c>
      <c r="AF45" s="32">
        <v>0.45900000000000002</v>
      </c>
      <c r="AG45" s="32">
        <v>0.46800000000000003</v>
      </c>
      <c r="AH45" s="32">
        <v>0.52700000000000002</v>
      </c>
      <c r="AI45" s="32">
        <v>0.52800000000000002</v>
      </c>
      <c r="AJ45" s="32">
        <v>0.498</v>
      </c>
      <c r="AK45" s="32">
        <v>0.53800000000000003</v>
      </c>
      <c r="AL45" s="32"/>
      <c r="AM45" s="32" t="e">
        <f>AM21/AM17</f>
        <v>#REF!</v>
      </c>
      <c r="AN45" s="32" t="e">
        <f>AN21/AN17</f>
        <v>#REF!</v>
      </c>
      <c r="AO45" s="388" t="e">
        <f t="shared" si="21"/>
        <v>#REF!</v>
      </c>
      <c r="AP45" s="365"/>
      <c r="AQ45" s="32"/>
      <c r="AR45" s="32" t="e">
        <f>AR21/AR17</f>
        <v>#REF!</v>
      </c>
      <c r="AS45" s="32" t="e">
        <f>AS21/AS17</f>
        <v>#REF!</v>
      </c>
      <c r="AT45" s="32">
        <f>AT21/AT17</f>
        <v>0.53651164882612212</v>
      </c>
      <c r="AU45" s="32">
        <v>0.54844299272035613</v>
      </c>
      <c r="AV45" s="32">
        <v>0.46396651641983261</v>
      </c>
      <c r="AW45" s="32">
        <v>0.51636825934950736</v>
      </c>
      <c r="AX45" s="32">
        <v>0.52400000000000002</v>
      </c>
      <c r="AY45" s="225">
        <v>0.45600000000000002</v>
      </c>
      <c r="AZ45" s="225">
        <v>0</v>
      </c>
      <c r="BA45" s="225">
        <v>0</v>
      </c>
      <c r="BB45" s="3"/>
      <c r="BC45" s="140"/>
      <c r="BD45" s="140"/>
      <c r="BG45" s="140"/>
    </row>
    <row r="46" spans="1:59" s="53" customFormat="1" ht="12.75" customHeight="1" x14ac:dyDescent="0.2">
      <c r="A46" s="490" t="s">
        <v>299</v>
      </c>
      <c r="B46" s="88"/>
      <c r="C46" s="157" t="e">
        <f t="shared" si="17"/>
        <v>#REF!</v>
      </c>
      <c r="D46" s="32"/>
      <c r="E46" s="32"/>
      <c r="F46" s="32" t="e">
        <f t="shared" ref="F46:K46" si="26">(F21+F22)/F17</f>
        <v>#REF!</v>
      </c>
      <c r="G46" s="32" t="e">
        <f t="shared" si="26"/>
        <v>#REF!</v>
      </c>
      <c r="H46" s="32" t="e">
        <f t="shared" si="26"/>
        <v>#REF!</v>
      </c>
      <c r="I46" s="32" t="e">
        <f t="shared" si="26"/>
        <v>#REF!</v>
      </c>
      <c r="J46" s="32" t="e">
        <f t="shared" si="26"/>
        <v>#REF!</v>
      </c>
      <c r="K46" s="32" t="e">
        <f t="shared" si="26"/>
        <v>#REF!</v>
      </c>
      <c r="L46" s="32" t="e">
        <f t="shared" ref="L46:Q46" si="27">(L21+L22)/L17</f>
        <v>#REF!</v>
      </c>
      <c r="M46" s="32" t="e">
        <f t="shared" si="27"/>
        <v>#REF!</v>
      </c>
      <c r="N46" s="32" t="e">
        <f t="shared" si="27"/>
        <v>#REF!</v>
      </c>
      <c r="O46" s="32" t="e">
        <f t="shared" si="27"/>
        <v>#REF!</v>
      </c>
      <c r="P46" s="32" t="e">
        <f t="shared" si="27"/>
        <v>#REF!</v>
      </c>
      <c r="Q46" s="32" t="e">
        <f t="shared" si="27"/>
        <v>#REF!</v>
      </c>
      <c r="R46" s="32">
        <f>(R21+R22)/R17</f>
        <v>0.56623741352147405</v>
      </c>
      <c r="S46" s="32">
        <f>(S21+S22)/S17</f>
        <v>0.57478126005911101</v>
      </c>
      <c r="T46" s="32">
        <f>(T21+T22)/T17</f>
        <v>0.60887498222159009</v>
      </c>
      <c r="U46" s="32">
        <f>(U21+U22)/U17</f>
        <v>0.58215382311091135</v>
      </c>
      <c r="V46" s="32">
        <v>0.60841056990731612</v>
      </c>
      <c r="W46" s="32">
        <v>0.63373800236665645</v>
      </c>
      <c r="X46" s="32">
        <v>0.59063609516541127</v>
      </c>
      <c r="Y46" s="32">
        <v>0.54520033849663341</v>
      </c>
      <c r="Z46" s="32">
        <v>0.5641993957703928</v>
      </c>
      <c r="AA46" s="32">
        <v>0.56444686384806142</v>
      </c>
      <c r="AB46" s="32">
        <v>0.52684472117537828</v>
      </c>
      <c r="AC46" s="32">
        <v>0.48784200460559696</v>
      </c>
      <c r="AD46" s="32">
        <v>0.64100000000000001</v>
      </c>
      <c r="AE46" s="32">
        <v>0.57899999999999996</v>
      </c>
      <c r="AF46" s="32">
        <v>0.51900000000000002</v>
      </c>
      <c r="AG46" s="32">
        <v>0.51500000000000001</v>
      </c>
      <c r="AH46" s="32">
        <v>0.59399999999999997</v>
      </c>
      <c r="AI46" s="32">
        <v>0.59299999999999997</v>
      </c>
      <c r="AJ46" s="32">
        <v>0.54200000000000004</v>
      </c>
      <c r="AK46" s="32">
        <v>0.61099999999999999</v>
      </c>
      <c r="AL46" s="32"/>
      <c r="AM46" s="32" t="e">
        <f>(AM21+AM22)/AM17</f>
        <v>#REF!</v>
      </c>
      <c r="AN46" s="32" t="e">
        <f>(AN21+AN22)/AN17</f>
        <v>#REF!</v>
      </c>
      <c r="AO46" s="388" t="e">
        <f t="shared" si="21"/>
        <v>#REF!</v>
      </c>
      <c r="AP46" s="365"/>
      <c r="AQ46" s="32"/>
      <c r="AR46" s="32" t="e">
        <f>(AR21+AR22)/AR17</f>
        <v>#REF!</v>
      </c>
      <c r="AS46" s="32" t="e">
        <f>(AS21+AS22)/AS17</f>
        <v>#REF!</v>
      </c>
      <c r="AT46" s="32">
        <f>(AT21+AT22)/AT17</f>
        <v>0.58077718809031209</v>
      </c>
      <c r="AU46" s="32">
        <v>0.59172251710367763</v>
      </c>
      <c r="AV46" s="32">
        <v>0.53043142305215707</v>
      </c>
      <c r="AW46" s="32">
        <v>0.56386269731963135</v>
      </c>
      <c r="AX46" s="32">
        <v>0.58699999999999997</v>
      </c>
      <c r="AY46" s="225">
        <v>0.53600000000000003</v>
      </c>
      <c r="AZ46" s="225">
        <v>0</v>
      </c>
      <c r="BA46" s="225">
        <v>0</v>
      </c>
      <c r="BB46" s="3"/>
      <c r="BC46" s="140"/>
      <c r="BD46" s="140"/>
      <c r="BG46" s="140"/>
    </row>
    <row r="47" spans="1:59" s="53" customFormat="1" ht="12.75" customHeight="1" x14ac:dyDescent="0.2">
      <c r="A47" s="91" t="s">
        <v>77</v>
      </c>
      <c r="B47" s="88"/>
      <c r="C47" s="157" t="e">
        <f t="shared" si="17"/>
        <v>#REF!</v>
      </c>
      <c r="D47" s="32"/>
      <c r="E47" s="32"/>
      <c r="F47" s="32" t="e">
        <f t="shared" ref="F47:S47" si="28">(F34-F21-F22)/F17</f>
        <v>#REF!</v>
      </c>
      <c r="G47" s="32" t="e">
        <f t="shared" si="28"/>
        <v>#REF!</v>
      </c>
      <c r="H47" s="32" t="e">
        <f t="shared" si="28"/>
        <v>#REF!</v>
      </c>
      <c r="I47" s="32" t="e">
        <f t="shared" si="28"/>
        <v>#REF!</v>
      </c>
      <c r="J47" s="32" t="e">
        <f t="shared" si="28"/>
        <v>#REF!</v>
      </c>
      <c r="K47" s="32" t="e">
        <f t="shared" si="28"/>
        <v>#REF!</v>
      </c>
      <c r="L47" s="32" t="e">
        <f t="shared" si="28"/>
        <v>#REF!</v>
      </c>
      <c r="M47" s="32" t="e">
        <f t="shared" si="28"/>
        <v>#REF!</v>
      </c>
      <c r="N47" s="32" t="e">
        <f t="shared" si="28"/>
        <v>#REF!</v>
      </c>
      <c r="O47" s="32" t="e">
        <f t="shared" si="28"/>
        <v>#REF!</v>
      </c>
      <c r="P47" s="32" t="e">
        <f t="shared" si="28"/>
        <v>#REF!</v>
      </c>
      <c r="Q47" s="32" t="e">
        <f t="shared" si="28"/>
        <v>#REF!</v>
      </c>
      <c r="R47" s="32">
        <f t="shared" si="28"/>
        <v>0.23912596753202275</v>
      </c>
      <c r="S47" s="32">
        <f t="shared" si="28"/>
        <v>0.23732186228894156</v>
      </c>
      <c r="T47" s="32">
        <f>(T24+T25+T26+T27+T28+T29+T30+T31+T33)/T17</f>
        <v>0.35964537998388091</v>
      </c>
      <c r="U47" s="32">
        <f>(U24+U25+U26+U27+U28+U29+U30+U31+U33)/U17</f>
        <v>0.26855388302254174</v>
      </c>
      <c r="V47" s="32">
        <v>0.32513310984026816</v>
      </c>
      <c r="W47" s="32">
        <v>0.34031643073147216</v>
      </c>
      <c r="X47" s="32">
        <v>0.26170488104323592</v>
      </c>
      <c r="Y47" s="32">
        <v>0.37234629677324405</v>
      </c>
      <c r="Z47" s="32">
        <v>0.61997443643969319</v>
      </c>
      <c r="AA47" s="32">
        <v>2.6110203834754735</v>
      </c>
      <c r="AB47" s="32">
        <v>0.68376208422087503</v>
      </c>
      <c r="AC47" s="32">
        <v>0.47242496389680338</v>
      </c>
      <c r="AD47" s="32">
        <v>0.55000000000000004</v>
      </c>
      <c r="AE47" s="32">
        <v>0.44799999999999995</v>
      </c>
      <c r="AF47" s="32">
        <v>0.63</v>
      </c>
      <c r="AG47" s="32">
        <v>0.44199999999999995</v>
      </c>
      <c r="AH47" s="32">
        <v>0.56300000000000006</v>
      </c>
      <c r="AI47" s="32">
        <v>0.495</v>
      </c>
      <c r="AJ47" s="32">
        <v>0.48299999999999987</v>
      </c>
      <c r="AK47" s="32">
        <v>0.29800000000000004</v>
      </c>
      <c r="AL47" s="32"/>
      <c r="AM47" s="32" t="e">
        <f>(AM34-AM21-AM22)/AM17</f>
        <v>#REF!</v>
      </c>
      <c r="AN47" s="32" t="e">
        <f>(AN34-AN21-AN22)/AN17</f>
        <v>#REF!</v>
      </c>
      <c r="AO47" s="388" t="e">
        <f t="shared" si="21"/>
        <v>#REF!</v>
      </c>
      <c r="AP47" s="365"/>
      <c r="AQ47" s="32"/>
      <c r="AR47" s="32" t="e">
        <f>(AR24+AR25+AR26+AR27+AR28+AR29+AR30+AR31+AR33)/AR17</f>
        <v>#REF!</v>
      </c>
      <c r="AS47" s="32" t="e">
        <f>(AS24+AS25+AS26+AS27+AS28+AS29+AS30+AS31+AS33)/AS17</f>
        <v>#REF!</v>
      </c>
      <c r="AT47" s="32">
        <f>(AT24+AT25+AT26+AT27+AT28+AT29+AT30+AT31+AT33)/AT17</f>
        <v>0.26850769092381038</v>
      </c>
      <c r="AU47" s="32">
        <v>0.32232590099285979</v>
      </c>
      <c r="AV47" s="32">
        <v>1.0104571796522859</v>
      </c>
      <c r="AW47" s="32">
        <v>0.51213052230109124</v>
      </c>
      <c r="AX47" s="32">
        <v>0.45</v>
      </c>
      <c r="AY47" s="225">
        <v>0.30599999999999994</v>
      </c>
      <c r="AZ47" s="225">
        <v>0</v>
      </c>
      <c r="BA47" s="225">
        <v>0</v>
      </c>
      <c r="BB47" s="3"/>
      <c r="BC47" s="140"/>
      <c r="BD47" s="140"/>
      <c r="BG47" s="140"/>
    </row>
    <row r="48" spans="1:59" s="53" customFormat="1" ht="12.75" customHeight="1" x14ac:dyDescent="0.2">
      <c r="A48" s="91" t="s">
        <v>78</v>
      </c>
      <c r="B48" s="88"/>
      <c r="C48" s="157" t="e">
        <f t="shared" si="17"/>
        <v>#REF!</v>
      </c>
      <c r="D48" s="32"/>
      <c r="E48" s="32"/>
      <c r="F48" s="32" t="e">
        <f t="shared" ref="F48:N48" si="29">F34/F17</f>
        <v>#REF!</v>
      </c>
      <c r="G48" s="32" t="e">
        <f t="shared" si="29"/>
        <v>#REF!</v>
      </c>
      <c r="H48" s="32" t="e">
        <f t="shared" si="29"/>
        <v>#REF!</v>
      </c>
      <c r="I48" s="32" t="e">
        <f t="shared" si="29"/>
        <v>#REF!</v>
      </c>
      <c r="J48" s="32" t="e">
        <f t="shared" si="29"/>
        <v>#REF!</v>
      </c>
      <c r="K48" s="32" t="e">
        <f t="shared" si="29"/>
        <v>#REF!</v>
      </c>
      <c r="L48" s="32" t="e">
        <f t="shared" si="29"/>
        <v>#REF!</v>
      </c>
      <c r="M48" s="32" t="e">
        <f t="shared" si="29"/>
        <v>#REF!</v>
      </c>
      <c r="N48" s="32" t="e">
        <f t="shared" si="29"/>
        <v>#REF!</v>
      </c>
      <c r="O48" s="32" t="e">
        <f t="shared" ref="O48:U48" si="30">O34/O17</f>
        <v>#REF!</v>
      </c>
      <c r="P48" s="32" t="e">
        <f t="shared" si="30"/>
        <v>#REF!</v>
      </c>
      <c r="Q48" s="32" t="e">
        <f t="shared" si="30"/>
        <v>#REF!</v>
      </c>
      <c r="R48" s="32">
        <f t="shared" si="30"/>
        <v>0.80536338105349681</v>
      </c>
      <c r="S48" s="32">
        <f t="shared" si="30"/>
        <v>0.8121031223480526</v>
      </c>
      <c r="T48" s="32">
        <f t="shared" si="30"/>
        <v>0.968520362205471</v>
      </c>
      <c r="U48" s="32">
        <f t="shared" si="30"/>
        <v>0.85070770613345315</v>
      </c>
      <c r="V48" s="32">
        <v>0.93354367974758434</v>
      </c>
      <c r="W48" s="32">
        <v>0.97405443309812856</v>
      </c>
      <c r="X48" s="32">
        <v>0.85234097620864713</v>
      </c>
      <c r="Y48" s="32">
        <v>0.91654663526987745</v>
      </c>
      <c r="Z48" s="32">
        <v>1.1841738322100861</v>
      </c>
      <c r="AA48" s="32">
        <v>3.1754672473235348</v>
      </c>
      <c r="AB48" s="32">
        <v>1.2106068053962533</v>
      </c>
      <c r="AC48" s="32">
        <v>0.96026696850240034</v>
      </c>
      <c r="AD48" s="32">
        <v>1.1910000000000001</v>
      </c>
      <c r="AE48" s="32">
        <v>1.0269999999999999</v>
      </c>
      <c r="AF48" s="32">
        <v>1.149</v>
      </c>
      <c r="AG48" s="32">
        <v>0.95699999999999996</v>
      </c>
      <c r="AH48" s="32">
        <v>1.157</v>
      </c>
      <c r="AI48" s="32">
        <v>1.0880000000000001</v>
      </c>
      <c r="AJ48" s="32">
        <v>1.0249999999999999</v>
      </c>
      <c r="AK48" s="32">
        <v>0.90900000000000003</v>
      </c>
      <c r="AL48" s="32"/>
      <c r="AM48" s="32" t="e">
        <f>AM34/AM17</f>
        <v>#REF!</v>
      </c>
      <c r="AN48" s="32" t="e">
        <f>AN34/AN17</f>
        <v>#REF!</v>
      </c>
      <c r="AO48" s="388" t="e">
        <f t="shared" si="21"/>
        <v>#REF!</v>
      </c>
      <c r="AP48" s="365"/>
      <c r="AQ48" s="32"/>
      <c r="AR48" s="32" t="e">
        <f>AR34/AR17</f>
        <v>#REF!</v>
      </c>
      <c r="AS48" s="32" t="e">
        <f>AS34/AS17</f>
        <v>#REF!</v>
      </c>
      <c r="AT48" s="32">
        <f>AT34/AT17</f>
        <v>0.84928487901412253</v>
      </c>
      <c r="AU48" s="32">
        <v>0.91404841809653747</v>
      </c>
      <c r="AV48" s="32">
        <v>1.5408886027044431</v>
      </c>
      <c r="AW48" s="32">
        <v>1.0759932196207225</v>
      </c>
      <c r="AX48" s="32">
        <v>1.0369999999999999</v>
      </c>
      <c r="AY48" s="225">
        <v>0.84199999999999997</v>
      </c>
      <c r="AZ48" s="225">
        <v>0</v>
      </c>
      <c r="BA48" s="225">
        <v>0</v>
      </c>
      <c r="BB48" s="3"/>
      <c r="BC48" s="140"/>
      <c r="BD48" s="140"/>
      <c r="BG48" s="140"/>
    </row>
    <row r="49" spans="1:59" s="53" customFormat="1" ht="12.75" customHeight="1" x14ac:dyDescent="0.2">
      <c r="A49" s="91" t="s">
        <v>79</v>
      </c>
      <c r="B49" s="88"/>
      <c r="C49" s="157" t="e">
        <f t="shared" si="17"/>
        <v>#REF!</v>
      </c>
      <c r="D49" s="32"/>
      <c r="E49" s="32"/>
      <c r="F49" s="32" t="e">
        <f t="shared" ref="F49:N49" si="31">F35/F17</f>
        <v>#REF!</v>
      </c>
      <c r="G49" s="32" t="e">
        <f t="shared" si="31"/>
        <v>#REF!</v>
      </c>
      <c r="H49" s="32" t="e">
        <f t="shared" si="31"/>
        <v>#REF!</v>
      </c>
      <c r="I49" s="32" t="e">
        <f t="shared" si="31"/>
        <v>#REF!</v>
      </c>
      <c r="J49" s="32" t="e">
        <f t="shared" si="31"/>
        <v>#REF!</v>
      </c>
      <c r="K49" s="32" t="e">
        <f t="shared" si="31"/>
        <v>#REF!</v>
      </c>
      <c r="L49" s="32" t="e">
        <f t="shared" si="31"/>
        <v>#REF!</v>
      </c>
      <c r="M49" s="32" t="e">
        <f t="shared" si="31"/>
        <v>#REF!</v>
      </c>
      <c r="N49" s="32" t="e">
        <f t="shared" si="31"/>
        <v>#REF!</v>
      </c>
      <c r="O49" s="32" t="e">
        <f t="shared" ref="O49:U49" si="32">O35/O17</f>
        <v>#REF!</v>
      </c>
      <c r="P49" s="32" t="e">
        <f t="shared" si="32"/>
        <v>#REF!</v>
      </c>
      <c r="Q49" s="32" t="e">
        <f t="shared" si="32"/>
        <v>#REF!</v>
      </c>
      <c r="R49" s="32">
        <f t="shared" si="32"/>
        <v>0.19463661894650319</v>
      </c>
      <c r="S49" s="32">
        <f t="shared" si="32"/>
        <v>0.18789687765194743</v>
      </c>
      <c r="T49" s="32">
        <f t="shared" si="32"/>
        <v>3.1479637794528989E-2</v>
      </c>
      <c r="U49" s="32">
        <f t="shared" si="32"/>
        <v>0.14929229386654685</v>
      </c>
      <c r="V49" s="32">
        <v>6.6456320252415699E-2</v>
      </c>
      <c r="W49" s="32">
        <v>2.5945566901871411E-2</v>
      </c>
      <c r="X49" s="32">
        <v>0.14765902379135282</v>
      </c>
      <c r="Y49" s="32">
        <v>8.2453364730122519E-2</v>
      </c>
      <c r="Z49" s="32">
        <v>-0.18417383221008599</v>
      </c>
      <c r="AA49" s="32">
        <v>-2.1754672473235348</v>
      </c>
      <c r="AB49" s="32">
        <v>-0.21226208707066288</v>
      </c>
      <c r="AC49" s="32">
        <v>3.9733031497599623E-2</v>
      </c>
      <c r="AD49" s="32">
        <v>-0.19240516847397066</v>
      </c>
      <c r="AE49" s="32">
        <v>-2.6999999999999913E-2</v>
      </c>
      <c r="AF49" s="32">
        <v>-0.14900000000000002</v>
      </c>
      <c r="AG49" s="32">
        <v>4.3000000000000038E-2</v>
      </c>
      <c r="AH49" s="32">
        <v>-0.15700000000000003</v>
      </c>
      <c r="AI49" s="32">
        <v>-8.8000000000000078E-2</v>
      </c>
      <c r="AJ49" s="32">
        <v>-2.4999999999999911E-2</v>
      </c>
      <c r="AK49" s="32">
        <v>9.099999999999997E-2</v>
      </c>
      <c r="AL49" s="32"/>
      <c r="AM49" s="32" t="e">
        <f>AM35/AM17</f>
        <v>#REF!</v>
      </c>
      <c r="AN49" s="32" t="e">
        <f>AN35/AN17</f>
        <v>#REF!</v>
      </c>
      <c r="AO49" s="388" t="e">
        <f t="shared" si="21"/>
        <v>#REF!</v>
      </c>
      <c r="AP49" s="365"/>
      <c r="AQ49" s="32"/>
      <c r="AR49" s="32" t="e">
        <f>AR35/AR17</f>
        <v>#REF!</v>
      </c>
      <c r="AS49" s="32" t="e">
        <f>AS35/AS17</f>
        <v>#REF!</v>
      </c>
      <c r="AT49" s="32">
        <f>AT35/AT17</f>
        <v>0.1507151209858775</v>
      </c>
      <c r="AU49" s="32">
        <v>8.5951581903462568E-2</v>
      </c>
      <c r="AV49" s="32">
        <v>-0.54088860270444306</v>
      </c>
      <c r="AW49" s="32">
        <v>-7.8117702008407286E-2</v>
      </c>
      <c r="AX49" s="32">
        <v>-4.4996467219515821E-2</v>
      </c>
      <c r="AY49" s="225">
        <f>AY35/AY17</f>
        <v>0.15435098441961825</v>
      </c>
      <c r="AZ49" s="225">
        <v>0</v>
      </c>
      <c r="BA49" s="225">
        <v>0</v>
      </c>
      <c r="BB49" s="3"/>
      <c r="BC49" s="140"/>
      <c r="BD49" s="140"/>
      <c r="BG49" s="140"/>
    </row>
    <row r="50" spans="1:59" s="53" customFormat="1" ht="12.75" customHeight="1" x14ac:dyDescent="0.2">
      <c r="A50" s="89"/>
      <c r="B50" s="88"/>
      <c r="C50" s="32"/>
      <c r="D50" s="32"/>
      <c r="E50" s="32"/>
      <c r="F50" s="32"/>
      <c r="G50" s="32"/>
      <c r="H50" s="32"/>
      <c r="I50" s="487"/>
      <c r="J50" s="32"/>
      <c r="K50" s="32"/>
      <c r="L50" s="32"/>
      <c r="M50" s="487"/>
      <c r="N50" s="32"/>
      <c r="O50" s="32"/>
      <c r="P50" s="32"/>
      <c r="Q50" s="44"/>
      <c r="R50" s="32"/>
      <c r="S50" s="32"/>
      <c r="T50" s="32"/>
      <c r="U50" s="44"/>
      <c r="V50" s="32"/>
      <c r="W50" s="32"/>
      <c r="X50" s="32"/>
      <c r="Y50" s="44"/>
      <c r="Z50" s="32"/>
      <c r="AA50" s="32"/>
      <c r="AB50" s="32"/>
      <c r="AC50" s="44"/>
      <c r="AD50" s="44"/>
      <c r="AE50" s="44"/>
      <c r="AF50" s="44"/>
      <c r="AG50" s="44"/>
      <c r="AH50" s="44"/>
      <c r="AI50" s="44"/>
      <c r="AJ50" s="44"/>
      <c r="AK50" s="44"/>
      <c r="AL50" s="32"/>
      <c r="AM50" s="32"/>
      <c r="AN50" s="32"/>
      <c r="AO50" s="365">
        <f>AR50-AS50</f>
        <v>0</v>
      </c>
      <c r="AP50" s="365"/>
      <c r="AQ50" s="32"/>
      <c r="AR50" s="365"/>
      <c r="AS50" s="365"/>
      <c r="AT50" s="365"/>
      <c r="AU50" s="32"/>
      <c r="AV50" s="32"/>
      <c r="AW50" s="44"/>
      <c r="AX50" s="44"/>
      <c r="AY50" s="225"/>
      <c r="AZ50" s="225"/>
      <c r="BA50" s="225"/>
      <c r="BB50" s="3"/>
      <c r="BC50" s="140"/>
      <c r="BD50" s="140"/>
      <c r="BG50" s="140"/>
    </row>
    <row r="51" spans="1:59" s="53" customFormat="1" ht="12.75" customHeight="1" x14ac:dyDescent="0.2">
      <c r="A51" s="44" t="s">
        <v>88</v>
      </c>
      <c r="B51" s="88"/>
      <c r="C51" s="111">
        <f>I51-M51</f>
        <v>-40</v>
      </c>
      <c r="D51" s="513">
        <f>IF(OR((C51/M51)&gt;3,(C51/M51)&lt;-3),"n.m.",(C51/M51))</f>
        <v>-0.13157894736842105</v>
      </c>
      <c r="E51" s="35"/>
      <c r="F51" s="122"/>
      <c r="G51" s="122"/>
      <c r="H51" s="122"/>
      <c r="I51" s="122">
        <f>+'12 Misc Operating Stats'!U22</f>
        <v>264</v>
      </c>
      <c r="J51" s="122">
        <f>+'12 Misc Operating Stats'!V22</f>
        <v>253</v>
      </c>
      <c r="K51" s="122">
        <f>+'12 Misc Operating Stats'!W22</f>
        <v>259</v>
      </c>
      <c r="L51" s="122">
        <f>+'12 Misc Operating Stats'!X22</f>
        <v>252</v>
      </c>
      <c r="M51" s="122">
        <f>+'12 Misc Operating Stats'!Y22</f>
        <v>304</v>
      </c>
      <c r="N51" s="122">
        <f>'12 Misc Operating Stats'!Z22</f>
        <v>302</v>
      </c>
      <c r="O51" s="122">
        <f>'12 Misc Operating Stats'!AA22</f>
        <v>176</v>
      </c>
      <c r="P51" s="122">
        <f>'12 Misc Operating Stats'!AB22</f>
        <v>186</v>
      </c>
      <c r="Q51" s="122">
        <f>'12 Misc Operating Stats'!AC22</f>
        <v>180</v>
      </c>
      <c r="R51" s="122">
        <v>175</v>
      </c>
      <c r="S51" s="122">
        <v>175</v>
      </c>
      <c r="T51" s="122">
        <v>178</v>
      </c>
      <c r="U51" s="122">
        <v>169</v>
      </c>
      <c r="V51" s="122">
        <v>163</v>
      </c>
      <c r="W51" s="122">
        <v>162</v>
      </c>
      <c r="X51" s="122">
        <v>157</v>
      </c>
      <c r="Y51" s="122">
        <v>152</v>
      </c>
      <c r="Z51" s="94">
        <v>151</v>
      </c>
      <c r="AA51" s="44">
        <v>152</v>
      </c>
      <c r="AB51" s="44">
        <v>176</v>
      </c>
      <c r="AC51" s="44">
        <v>169</v>
      </c>
      <c r="AD51" s="44">
        <v>163</v>
      </c>
      <c r="AE51" s="44">
        <v>161</v>
      </c>
      <c r="AF51" s="44">
        <v>162</v>
      </c>
      <c r="AG51" s="44">
        <v>170</v>
      </c>
      <c r="AH51" s="44">
        <v>163</v>
      </c>
      <c r="AI51" s="44">
        <v>170</v>
      </c>
      <c r="AJ51" s="44">
        <v>164</v>
      </c>
      <c r="AK51" s="44">
        <v>154</v>
      </c>
      <c r="AL51" s="174"/>
      <c r="AM51" s="448">
        <f>K51</f>
        <v>259</v>
      </c>
      <c r="AN51" s="448">
        <f>O51</f>
        <v>176</v>
      </c>
      <c r="AO51" s="400">
        <f>AR51-AS51</f>
        <v>-49</v>
      </c>
      <c r="AP51" s="35">
        <f>AO51/AS51</f>
        <v>-0.16225165562913907</v>
      </c>
      <c r="AQ51" s="174"/>
      <c r="AR51" s="385">
        <f>J51</f>
        <v>253</v>
      </c>
      <c r="AS51" s="385">
        <f>N51</f>
        <v>302</v>
      </c>
      <c r="AT51" s="385">
        <v>175</v>
      </c>
      <c r="AU51" s="122">
        <v>163</v>
      </c>
      <c r="AV51" s="122">
        <v>151</v>
      </c>
      <c r="AW51" s="122">
        <v>163</v>
      </c>
      <c r="AX51" s="122">
        <v>163</v>
      </c>
      <c r="AY51" s="219">
        <v>150</v>
      </c>
      <c r="AZ51" s="219">
        <v>0</v>
      </c>
      <c r="BA51" s="219">
        <v>0</v>
      </c>
      <c r="BB51" s="3"/>
      <c r="BC51" s="140"/>
      <c r="BD51" s="140"/>
      <c r="BG51" s="140"/>
    </row>
    <row r="52" spans="1:59" s="53" customFormat="1" ht="12.75" customHeight="1" x14ac:dyDescent="0.2">
      <c r="A52" s="44"/>
      <c r="B52" s="88"/>
      <c r="C52" s="111"/>
      <c r="D52" s="35"/>
      <c r="E52" s="35"/>
      <c r="F52" s="487"/>
      <c r="G52" s="487"/>
      <c r="H52" s="487"/>
      <c r="I52" s="487"/>
      <c r="J52" s="487"/>
      <c r="K52" s="487"/>
      <c r="L52" s="487"/>
      <c r="M52" s="487"/>
      <c r="N52" s="94"/>
      <c r="O52" s="44"/>
      <c r="P52" s="44"/>
      <c r="Q52" s="44"/>
      <c r="R52" s="94"/>
      <c r="S52" s="44"/>
      <c r="T52" s="44"/>
      <c r="U52" s="44"/>
      <c r="V52" s="94"/>
      <c r="W52" s="44"/>
      <c r="X52" s="44"/>
      <c r="Y52" s="44"/>
      <c r="Z52" s="94"/>
      <c r="AA52" s="44"/>
      <c r="AB52" s="44"/>
      <c r="AC52" s="44"/>
      <c r="AD52" s="44"/>
      <c r="AE52" s="44"/>
      <c r="AF52" s="44"/>
      <c r="AG52" s="44"/>
      <c r="AH52" s="44"/>
      <c r="AI52" s="44"/>
      <c r="AJ52" s="44"/>
      <c r="AK52" s="44"/>
      <c r="AL52" s="174"/>
      <c r="AM52" s="174"/>
      <c r="AN52" s="174"/>
      <c r="AO52" s="63"/>
      <c r="AP52" s="35"/>
      <c r="AQ52" s="174"/>
      <c r="AR52" s="63"/>
      <c r="AS52" s="63"/>
      <c r="AT52" s="63"/>
      <c r="AU52" s="30"/>
      <c r="AV52" s="30"/>
      <c r="AW52" s="44"/>
      <c r="AX52" s="44"/>
      <c r="AY52" s="219"/>
      <c r="AZ52" s="219"/>
      <c r="BA52" s="219"/>
      <c r="BB52" s="3"/>
      <c r="BC52" s="140"/>
      <c r="BD52" s="140"/>
      <c r="BG52" s="140"/>
    </row>
    <row r="53" spans="1:59" ht="18" customHeight="1" x14ac:dyDescent="0.2">
      <c r="A53" s="10" t="s">
        <v>252</v>
      </c>
      <c r="B53" s="419"/>
      <c r="C53" s="44"/>
      <c r="D53" s="44"/>
      <c r="E53" s="94"/>
      <c r="F53" s="488"/>
      <c r="G53" s="488"/>
      <c r="H53" s="488"/>
      <c r="I53" s="488"/>
      <c r="J53" s="488"/>
      <c r="K53" s="488"/>
      <c r="L53" s="488"/>
      <c r="M53" s="488"/>
      <c r="N53" s="94"/>
      <c r="O53" s="94"/>
      <c r="P53" s="94"/>
      <c r="Q53" s="94"/>
      <c r="R53" s="94"/>
      <c r="S53" s="94"/>
      <c r="T53" s="94"/>
      <c r="U53" s="94"/>
      <c r="V53" s="94"/>
      <c r="W53" s="94"/>
      <c r="X53" s="94"/>
      <c r="Y53" s="94"/>
      <c r="Z53" s="94"/>
      <c r="AA53" s="94"/>
      <c r="AB53" s="94"/>
      <c r="AC53" s="94"/>
      <c r="AD53" s="94"/>
      <c r="AE53" s="94"/>
      <c r="AF53" s="44"/>
      <c r="AG53" s="44"/>
      <c r="AH53" s="44"/>
      <c r="AI53" s="44"/>
      <c r="AJ53" s="44"/>
      <c r="AK53" s="44"/>
      <c r="AL53" s="44"/>
      <c r="AM53" s="44"/>
      <c r="AN53" s="44"/>
      <c r="AO53" s="373"/>
      <c r="AP53" s="373"/>
      <c r="AQ53" s="44"/>
      <c r="AR53" s="373"/>
      <c r="AS53" s="373"/>
      <c r="AT53" s="373"/>
      <c r="AU53" s="44"/>
      <c r="AV53" s="44"/>
      <c r="AW53" s="44"/>
      <c r="AX53" s="44"/>
      <c r="AY53" s="224"/>
      <c r="AZ53" s="224"/>
      <c r="BA53" s="224"/>
      <c r="BB53" s="3"/>
      <c r="BC53" s="3"/>
      <c r="BD53" s="3"/>
      <c r="BG53" s="3"/>
    </row>
    <row r="54" spans="1:59" ht="12.75" customHeight="1" x14ac:dyDescent="0.2">
      <c r="A54" s="126"/>
      <c r="B54" s="6"/>
      <c r="C54" s="44"/>
      <c r="D54" s="44"/>
      <c r="E54" s="94"/>
      <c r="F54" s="488"/>
      <c r="G54" s="488"/>
      <c r="H54" s="488"/>
      <c r="I54" s="488"/>
      <c r="J54" s="488"/>
      <c r="K54" s="488"/>
      <c r="L54" s="488"/>
      <c r="M54" s="488"/>
      <c r="N54" s="268"/>
      <c r="O54" s="94"/>
      <c r="P54" s="94"/>
      <c r="Q54" s="94"/>
      <c r="R54" s="268"/>
      <c r="S54" s="94"/>
      <c r="T54" s="268"/>
      <c r="U54" s="94"/>
      <c r="V54" s="268"/>
      <c r="W54" s="94"/>
      <c r="X54" s="268"/>
      <c r="Y54" s="94"/>
      <c r="Z54" s="268"/>
      <c r="AA54" s="94"/>
      <c r="AB54" s="94"/>
      <c r="AC54" s="94"/>
      <c r="AD54" s="94"/>
      <c r="AE54" s="94"/>
      <c r="AF54" s="44"/>
      <c r="AG54" s="44"/>
      <c r="AH54" s="44"/>
      <c r="AI54" s="44"/>
      <c r="AJ54" s="44"/>
      <c r="AK54" s="44"/>
      <c r="AL54" s="44"/>
      <c r="AM54" s="44"/>
      <c r="AN54" s="44"/>
      <c r="AO54" s="373"/>
      <c r="AP54" s="373"/>
      <c r="AQ54" s="44"/>
      <c r="AR54" s="373"/>
      <c r="AS54" s="373"/>
      <c r="AT54" s="373"/>
      <c r="AU54" s="44"/>
      <c r="AV54" s="44"/>
      <c r="AW54" s="44"/>
      <c r="AX54" s="44"/>
      <c r="AY54" s="224"/>
      <c r="AZ54" s="224"/>
      <c r="BA54" s="224"/>
      <c r="BB54" s="3"/>
      <c r="BC54" s="3"/>
      <c r="BD54" s="3"/>
      <c r="BG54" s="3"/>
    </row>
    <row r="55" spans="1:59" ht="12.75" customHeight="1" x14ac:dyDescent="0.2">
      <c r="A55" s="5"/>
      <c r="B55" s="6"/>
      <c r="C55" s="2493" t="s">
        <v>327</v>
      </c>
      <c r="D55" s="2494"/>
      <c r="E55" s="187"/>
      <c r="F55" s="276"/>
      <c r="G55" s="276"/>
      <c r="H55" s="276"/>
      <c r="I55" s="17"/>
      <c r="J55" s="276"/>
      <c r="K55" s="276"/>
      <c r="L55" s="276"/>
      <c r="M55" s="17"/>
      <c r="N55" s="15"/>
      <c r="O55" s="16"/>
      <c r="P55" s="276"/>
      <c r="Q55" s="17"/>
      <c r="R55" s="15"/>
      <c r="S55" s="16"/>
      <c r="T55" s="276"/>
      <c r="U55" s="17"/>
      <c r="V55" s="486"/>
      <c r="W55" s="16"/>
      <c r="X55" s="2"/>
      <c r="Y55" s="17"/>
      <c r="Z55" s="16"/>
      <c r="AA55" s="486"/>
      <c r="AB55" s="276"/>
      <c r="AC55" s="17"/>
      <c r="AD55" s="16"/>
      <c r="AE55" s="16"/>
      <c r="AF55" s="16"/>
      <c r="AG55" s="16"/>
      <c r="AH55" s="20"/>
      <c r="AI55" s="17"/>
      <c r="AJ55" s="17"/>
      <c r="AK55" s="17"/>
      <c r="AL55" s="22"/>
      <c r="AM55" s="450" t="s">
        <v>311</v>
      </c>
      <c r="AN55" s="438"/>
      <c r="AO55" s="438" t="s">
        <v>296</v>
      </c>
      <c r="AP55" s="439"/>
      <c r="AQ55" s="13"/>
      <c r="AR55" s="535"/>
      <c r="AS55" s="469"/>
      <c r="AT55" s="405"/>
      <c r="AU55" s="46"/>
      <c r="AV55" s="46"/>
      <c r="AW55" s="129"/>
      <c r="AX55" s="127"/>
      <c r="AY55" s="46"/>
      <c r="AZ55" s="46"/>
      <c r="BA55" s="469"/>
      <c r="BB55" s="23"/>
      <c r="BC55" s="3"/>
      <c r="BD55" s="3"/>
      <c r="BG55" s="3"/>
    </row>
    <row r="56" spans="1:59" ht="12.75" customHeight="1" x14ac:dyDescent="0.2">
      <c r="A56" s="5" t="s">
        <v>95</v>
      </c>
      <c r="B56" s="6"/>
      <c r="C56" s="2495" t="s">
        <v>39</v>
      </c>
      <c r="D56" s="2496"/>
      <c r="E56" s="358"/>
      <c r="F56" s="19" t="s">
        <v>330</v>
      </c>
      <c r="G56" s="19" t="s">
        <v>329</v>
      </c>
      <c r="H56" s="19" t="s">
        <v>328</v>
      </c>
      <c r="I56" s="12" t="s">
        <v>326</v>
      </c>
      <c r="J56" s="19" t="s">
        <v>282</v>
      </c>
      <c r="K56" s="19" t="s">
        <v>283</v>
      </c>
      <c r="L56" s="19" t="s">
        <v>284</v>
      </c>
      <c r="M56" s="12" t="s">
        <v>285</v>
      </c>
      <c r="N56" s="18" t="s">
        <v>220</v>
      </c>
      <c r="O56" s="19" t="s">
        <v>221</v>
      </c>
      <c r="P56" s="19" t="s">
        <v>222</v>
      </c>
      <c r="Q56" s="12" t="s">
        <v>219</v>
      </c>
      <c r="R56" s="18" t="s">
        <v>185</v>
      </c>
      <c r="S56" s="19" t="s">
        <v>186</v>
      </c>
      <c r="T56" s="19" t="s">
        <v>187</v>
      </c>
      <c r="U56" s="12" t="s">
        <v>188</v>
      </c>
      <c r="V56" s="19" t="s">
        <v>118</v>
      </c>
      <c r="W56" s="19" t="s">
        <v>117</v>
      </c>
      <c r="X56" s="19" t="s">
        <v>116</v>
      </c>
      <c r="Y56" s="12" t="s">
        <v>115</v>
      </c>
      <c r="Z56" s="19" t="s">
        <v>83</v>
      </c>
      <c r="AA56" s="19" t="s">
        <v>84</v>
      </c>
      <c r="AB56" s="19" t="s">
        <v>85</v>
      </c>
      <c r="AC56" s="12" t="s">
        <v>30</v>
      </c>
      <c r="AD56" s="19" t="s">
        <v>31</v>
      </c>
      <c r="AE56" s="19" t="s">
        <v>32</v>
      </c>
      <c r="AF56" s="19" t="s">
        <v>33</v>
      </c>
      <c r="AG56" s="19" t="s">
        <v>34</v>
      </c>
      <c r="AH56" s="21" t="s">
        <v>35</v>
      </c>
      <c r="AI56" s="12" t="s">
        <v>36</v>
      </c>
      <c r="AJ56" s="12" t="s">
        <v>37</v>
      </c>
      <c r="AK56" s="12" t="s">
        <v>38</v>
      </c>
      <c r="AL56" s="187"/>
      <c r="AM56" s="19" t="s">
        <v>283</v>
      </c>
      <c r="AN56" s="19" t="s">
        <v>221</v>
      </c>
      <c r="AO56" s="2498" t="s">
        <v>39</v>
      </c>
      <c r="AP56" s="2499"/>
      <c r="AQ56" s="130"/>
      <c r="AR56" s="21" t="s">
        <v>287</v>
      </c>
      <c r="AS56" s="161" t="s">
        <v>224</v>
      </c>
      <c r="AT56" s="161" t="s">
        <v>120</v>
      </c>
      <c r="AU56" s="18" t="s">
        <v>119</v>
      </c>
      <c r="AV56" s="18" t="s">
        <v>43</v>
      </c>
      <c r="AW56" s="18" t="s">
        <v>40</v>
      </c>
      <c r="AX56" s="21" t="s">
        <v>41</v>
      </c>
      <c r="AY56" s="21" t="s">
        <v>138</v>
      </c>
      <c r="AZ56" s="21" t="s">
        <v>139</v>
      </c>
      <c r="BA56" s="18" t="s">
        <v>140</v>
      </c>
      <c r="BB56" s="23"/>
      <c r="BC56" s="3"/>
      <c r="BD56" s="3"/>
      <c r="BG56" s="3"/>
    </row>
    <row r="57" spans="1:59" ht="12.75" customHeight="1" x14ac:dyDescent="0.2">
      <c r="A57" s="93"/>
      <c r="B57" s="94" t="s">
        <v>4</v>
      </c>
      <c r="C57" s="265" t="e">
        <f>I57-M57</f>
        <v>#REF!</v>
      </c>
      <c r="D57" s="503" t="e">
        <f>IF(OR((C57/M57)&gt;3,(C57/M57)&lt;-3),"n.m.",(C57/M57))</f>
        <v>#REF!</v>
      </c>
      <c r="E57" s="47"/>
      <c r="F57" s="499" t="e">
        <f t="shared" ref="F57:M57" si="33">+F17</f>
        <v>#REF!</v>
      </c>
      <c r="G57" s="499" t="e">
        <f t="shared" si="33"/>
        <v>#REF!</v>
      </c>
      <c r="H57" s="499" t="e">
        <f t="shared" si="33"/>
        <v>#REF!</v>
      </c>
      <c r="I57" s="500" t="e">
        <f t="shared" si="33"/>
        <v>#REF!</v>
      </c>
      <c r="J57" s="499" t="e">
        <f t="shared" si="33"/>
        <v>#REF!</v>
      </c>
      <c r="K57" s="499" t="e">
        <f t="shared" si="33"/>
        <v>#REF!</v>
      </c>
      <c r="L57" s="499" t="e">
        <f t="shared" si="33"/>
        <v>#REF!</v>
      </c>
      <c r="M57" s="500" t="e">
        <f t="shared" si="33"/>
        <v>#REF!</v>
      </c>
      <c r="N57" s="238" t="e">
        <f t="shared" ref="N57:U57" si="34">N17</f>
        <v>#REF!</v>
      </c>
      <c r="O57" s="238" t="e">
        <f t="shared" si="34"/>
        <v>#REF!</v>
      </c>
      <c r="P57" s="238" t="e">
        <f t="shared" si="34"/>
        <v>#REF!</v>
      </c>
      <c r="Q57" s="255" t="e">
        <f t="shared" si="34"/>
        <v>#REF!</v>
      </c>
      <c r="R57" s="238">
        <f t="shared" si="34"/>
        <v>29198</v>
      </c>
      <c r="S57" s="238">
        <f t="shared" si="34"/>
        <v>34173</v>
      </c>
      <c r="T57" s="238">
        <f t="shared" si="34"/>
        <v>21093</v>
      </c>
      <c r="U57" s="255">
        <f t="shared" si="34"/>
        <v>26706</v>
      </c>
      <c r="V57" s="238">
        <v>20284</v>
      </c>
      <c r="W57" s="238">
        <v>22817</v>
      </c>
      <c r="X57" s="238">
        <v>30137</v>
      </c>
      <c r="Y57" s="255">
        <v>27179</v>
      </c>
      <c r="Z57" s="248">
        <v>17212</v>
      </c>
      <c r="AA57" s="238">
        <v>16533</v>
      </c>
      <c r="AB57" s="238">
        <v>18284</v>
      </c>
      <c r="AC57" s="255">
        <v>25621</v>
      </c>
      <c r="AD57" s="164">
        <v>24069</v>
      </c>
      <c r="AE57" s="164">
        <v>23107</v>
      </c>
      <c r="AF57" s="164">
        <v>20654</v>
      </c>
      <c r="AG57" s="165">
        <v>26374</v>
      </c>
      <c r="AH57" s="186">
        <v>19835</v>
      </c>
      <c r="AI57" s="165">
        <v>18613</v>
      </c>
      <c r="AJ57" s="165">
        <v>7372</v>
      </c>
      <c r="AK57" s="165">
        <v>8735</v>
      </c>
      <c r="AL57" s="47"/>
      <c r="AM57" s="238" t="e">
        <f>SUM(K57:M57)</f>
        <v>#REF!</v>
      </c>
      <c r="AN57" s="238" t="e">
        <f>SUM(O57:Q57)</f>
        <v>#REF!</v>
      </c>
      <c r="AO57" s="389" t="e">
        <f>AR57-AS57</f>
        <v>#REF!</v>
      </c>
      <c r="AP57" s="390" t="e">
        <f>AO57/AS57</f>
        <v>#REF!</v>
      </c>
      <c r="AQ57" s="44"/>
      <c r="AR57" s="375" t="e">
        <f>SUM(J57:M57)</f>
        <v>#REF!</v>
      </c>
      <c r="AS57" s="383" t="e">
        <f>SUM(N57:Q57)</f>
        <v>#REF!</v>
      </c>
      <c r="AT57" s="383">
        <f>SUM(R57:U57)</f>
        <v>111170</v>
      </c>
      <c r="AU57" s="121">
        <v>100417</v>
      </c>
      <c r="AV57" s="121">
        <v>77650</v>
      </c>
      <c r="AW57" s="132">
        <v>94204</v>
      </c>
      <c r="AX57" s="132">
        <v>80673</v>
      </c>
      <c r="AY57" s="233">
        <f>AY17</f>
        <v>19961</v>
      </c>
      <c r="AZ57" s="233">
        <f>AZ17</f>
        <v>0</v>
      </c>
      <c r="BA57" s="233">
        <f>BA17</f>
        <v>0</v>
      </c>
      <c r="BB57" s="3"/>
      <c r="BC57" s="3"/>
      <c r="BD57" s="3"/>
      <c r="BG57" s="3"/>
    </row>
    <row r="58" spans="1:59" ht="12.75" customHeight="1" x14ac:dyDescent="0.2">
      <c r="A58" s="44"/>
      <c r="B58" s="94" t="s">
        <v>82</v>
      </c>
      <c r="C58" s="45">
        <f>I58-M58</f>
        <v>5076</v>
      </c>
      <c r="D58" s="39">
        <f>IF(OR((C58/M58)&gt;3,(C58/M58)&lt;-3),"n.m.",(C58/M58))</f>
        <v>0.1242868685879386</v>
      </c>
      <c r="E58" s="359"/>
      <c r="F58" s="267">
        <f>+F34-F31-1</f>
        <v>-1</v>
      </c>
      <c r="G58" s="267">
        <f>+G34-G31-1</f>
        <v>-1</v>
      </c>
      <c r="H58" s="267">
        <f>+H34-H31-1</f>
        <v>-1</v>
      </c>
      <c r="I58" s="500">
        <f>+I34-I31-1</f>
        <v>45917</v>
      </c>
      <c r="J58" s="267">
        <f>+J34-J31-1</f>
        <v>41442</v>
      </c>
      <c r="K58" s="267">
        <f>+K34-K31-3</f>
        <v>36205</v>
      </c>
      <c r="L58" s="267">
        <f>+L34-L31-3</f>
        <v>38846</v>
      </c>
      <c r="M58" s="500">
        <f>+M34-1</f>
        <v>40841</v>
      </c>
      <c r="N58" s="267">
        <f>N34-N31-N32</f>
        <v>23684</v>
      </c>
      <c r="O58" s="267">
        <f>O34-O31</f>
        <v>19065</v>
      </c>
      <c r="P58" s="267">
        <f t="shared" ref="P58:U58" si="35">P34</f>
        <v>20340</v>
      </c>
      <c r="Q58" s="255">
        <f t="shared" si="35"/>
        <v>23902</v>
      </c>
      <c r="R58" s="267">
        <f t="shared" si="35"/>
        <v>23515</v>
      </c>
      <c r="S58" s="267">
        <f t="shared" si="35"/>
        <v>27752</v>
      </c>
      <c r="T58" s="267">
        <f t="shared" si="35"/>
        <v>20429</v>
      </c>
      <c r="U58" s="255">
        <f t="shared" si="35"/>
        <v>22719</v>
      </c>
      <c r="V58" s="267">
        <v>18936</v>
      </c>
      <c r="W58" s="267">
        <v>22225</v>
      </c>
      <c r="X58" s="267">
        <v>25687</v>
      </c>
      <c r="Y58" s="255">
        <v>24938</v>
      </c>
      <c r="Z58" s="267">
        <v>20382</v>
      </c>
      <c r="AA58" s="267">
        <v>21311</v>
      </c>
      <c r="AB58" s="267">
        <v>22165</v>
      </c>
      <c r="AC58" s="255">
        <v>24603</v>
      </c>
      <c r="AD58" s="163">
        <v>28700</v>
      </c>
      <c r="AE58" s="163">
        <v>23749</v>
      </c>
      <c r="AF58" s="163">
        <v>23836</v>
      </c>
      <c r="AG58" s="167">
        <v>25278</v>
      </c>
      <c r="AH58" s="132">
        <v>23039</v>
      </c>
      <c r="AI58" s="167">
        <v>20245</v>
      </c>
      <c r="AJ58" s="167">
        <v>18732</v>
      </c>
      <c r="AK58" s="167">
        <v>20213</v>
      </c>
      <c r="AL58" s="47"/>
      <c r="AM58" s="238">
        <f>SUM(K58:M58)</f>
        <v>115892</v>
      </c>
      <c r="AN58" s="238">
        <f>SUM(O58:Q58)</f>
        <v>63307</v>
      </c>
      <c r="AO58" s="391">
        <f>AR58-AS58</f>
        <v>70343</v>
      </c>
      <c r="AP58" s="392">
        <f>AO58/AS58</f>
        <v>0.80862388063132973</v>
      </c>
      <c r="AQ58" s="44"/>
      <c r="AR58" s="375">
        <f>SUM(J58:M58)</f>
        <v>157334</v>
      </c>
      <c r="AS58" s="375">
        <f>SUM(N58:Q58)</f>
        <v>86991</v>
      </c>
      <c r="AT58" s="375">
        <f>SUM(R58:U58)</f>
        <v>94415</v>
      </c>
      <c r="AU58" s="121">
        <v>91786</v>
      </c>
      <c r="AV58" s="121">
        <v>88461</v>
      </c>
      <c r="AW58" s="132">
        <v>101563</v>
      </c>
      <c r="AX58" s="132">
        <v>84303</v>
      </c>
      <c r="AY58" s="37">
        <f>AY34</f>
        <v>16880</v>
      </c>
      <c r="AZ58" s="37">
        <f>AZ34</f>
        <v>0</v>
      </c>
      <c r="BA58" s="37">
        <f>BA34</f>
        <v>0</v>
      </c>
      <c r="BB58" s="3"/>
      <c r="BC58" s="3"/>
      <c r="BD58" s="3"/>
      <c r="BG58" s="3"/>
    </row>
    <row r="59" spans="1:59" ht="12.75" customHeight="1" x14ac:dyDescent="0.2">
      <c r="A59" s="44"/>
      <c r="B59" s="94" t="s">
        <v>74</v>
      </c>
      <c r="C59" s="100" t="e">
        <f>I59-M59</f>
        <v>#REF!</v>
      </c>
      <c r="D59" s="101" t="e">
        <f>-IF(OR((C59/M59)&gt;3,(C59/M59)&lt;-3),"n.m.",(C59/M59))</f>
        <v>#REF!</v>
      </c>
      <c r="E59" s="359"/>
      <c r="F59" s="273" t="e">
        <f t="shared" ref="F59:M59" si="36">+F57-F58</f>
        <v>#REF!</v>
      </c>
      <c r="G59" s="273" t="e">
        <f t="shared" si="36"/>
        <v>#REF!</v>
      </c>
      <c r="H59" s="273" t="e">
        <f t="shared" si="36"/>
        <v>#REF!</v>
      </c>
      <c r="I59" s="256" t="e">
        <f t="shared" si="36"/>
        <v>#REF!</v>
      </c>
      <c r="J59" s="273" t="e">
        <f t="shared" si="36"/>
        <v>#REF!</v>
      </c>
      <c r="K59" s="273" t="e">
        <f t="shared" si="36"/>
        <v>#REF!</v>
      </c>
      <c r="L59" s="273" t="e">
        <f t="shared" si="36"/>
        <v>#REF!</v>
      </c>
      <c r="M59" s="256" t="e">
        <f t="shared" si="36"/>
        <v>#REF!</v>
      </c>
      <c r="N59" s="273" t="e">
        <f t="shared" ref="N59:U59" si="37">N57-N58</f>
        <v>#REF!</v>
      </c>
      <c r="O59" s="273" t="e">
        <f t="shared" si="37"/>
        <v>#REF!</v>
      </c>
      <c r="P59" s="273" t="e">
        <f t="shared" si="37"/>
        <v>#REF!</v>
      </c>
      <c r="Q59" s="256" t="e">
        <f t="shared" si="37"/>
        <v>#REF!</v>
      </c>
      <c r="R59" s="273">
        <f t="shared" si="37"/>
        <v>5683</v>
      </c>
      <c r="S59" s="273">
        <f t="shared" si="37"/>
        <v>6421</v>
      </c>
      <c r="T59" s="273">
        <f t="shared" si="37"/>
        <v>664</v>
      </c>
      <c r="U59" s="256">
        <f t="shared" si="37"/>
        <v>3987</v>
      </c>
      <c r="V59" s="273">
        <v>1348</v>
      </c>
      <c r="W59" s="273">
        <v>592</v>
      </c>
      <c r="X59" s="273">
        <v>4450</v>
      </c>
      <c r="Y59" s="256">
        <v>2241</v>
      </c>
      <c r="Z59" s="273">
        <v>-3170</v>
      </c>
      <c r="AA59" s="273">
        <v>-4778</v>
      </c>
      <c r="AB59" s="273">
        <v>-3881</v>
      </c>
      <c r="AC59" s="256">
        <v>1018</v>
      </c>
      <c r="AD59" s="169">
        <v>-4631</v>
      </c>
      <c r="AE59" s="169">
        <v>-642</v>
      </c>
      <c r="AF59" s="169">
        <v>-3182</v>
      </c>
      <c r="AG59" s="170">
        <v>1096</v>
      </c>
      <c r="AH59" s="137">
        <v>-3204</v>
      </c>
      <c r="AI59" s="170">
        <v>-1632</v>
      </c>
      <c r="AJ59" s="170">
        <v>-11360</v>
      </c>
      <c r="AK59" s="170">
        <v>-11478</v>
      </c>
      <c r="AL59" s="47"/>
      <c r="AM59" s="246" t="e">
        <f>AM57-AM58</f>
        <v>#REF!</v>
      </c>
      <c r="AN59" s="246" t="e">
        <f>AN57-AN58</f>
        <v>#REF!</v>
      </c>
      <c r="AO59" s="393" t="e">
        <f>AR59-AS59</f>
        <v>#REF!</v>
      </c>
      <c r="AP59" s="325" t="e">
        <f>-IF(OR((AO59/AS59)&gt;3,(AO59/AS59)&lt;-3),"n.m.",(AO59/AS59))</f>
        <v>#REF!</v>
      </c>
      <c r="AQ59" s="44"/>
      <c r="AR59" s="376" t="e">
        <f>AR57-AR58</f>
        <v>#REF!</v>
      </c>
      <c r="AS59" s="376" t="e">
        <f>AS57-AS58</f>
        <v>#REF!</v>
      </c>
      <c r="AT59" s="376">
        <f>SUM(R59:U59)</f>
        <v>16755</v>
      </c>
      <c r="AU59" s="131">
        <v>8631</v>
      </c>
      <c r="AV59" s="131">
        <v>-10811</v>
      </c>
      <c r="AW59" s="137">
        <v>-7359</v>
      </c>
      <c r="AX59" s="137">
        <v>-3630</v>
      </c>
      <c r="AY59" s="105">
        <f>AY57-AY58</f>
        <v>3081</v>
      </c>
      <c r="AZ59" s="105">
        <f>AZ57-AZ58</f>
        <v>0</v>
      </c>
      <c r="BA59" s="105">
        <f>BA57-BA58</f>
        <v>0</v>
      </c>
      <c r="BB59" s="3"/>
      <c r="BC59" s="3"/>
      <c r="BD59" s="3"/>
      <c r="BG59" s="3"/>
    </row>
    <row r="60" spans="1:59" ht="12.75" customHeight="1" x14ac:dyDescent="0.2">
      <c r="A60" s="44"/>
      <c r="B60" s="94"/>
      <c r="C60" s="99"/>
      <c r="D60" s="345"/>
      <c r="E60" s="9"/>
      <c r="F60" s="267"/>
      <c r="G60" s="267"/>
      <c r="H60" s="267"/>
      <c r="I60" s="499"/>
      <c r="J60" s="267"/>
      <c r="K60" s="267"/>
      <c r="L60" s="267"/>
      <c r="M60" s="499"/>
      <c r="N60" s="267"/>
      <c r="O60" s="267"/>
      <c r="P60" s="267"/>
      <c r="Q60" s="238"/>
      <c r="R60" s="267"/>
      <c r="S60" s="267"/>
      <c r="T60" s="267"/>
      <c r="U60" s="238"/>
      <c r="V60" s="267"/>
      <c r="W60" s="267"/>
      <c r="X60" s="267"/>
      <c r="Y60" s="238"/>
      <c r="Z60" s="267"/>
      <c r="AA60" s="267"/>
      <c r="AB60" s="267"/>
      <c r="AC60" s="238"/>
      <c r="AD60" s="163"/>
      <c r="AE60" s="163"/>
      <c r="AF60" s="163"/>
      <c r="AG60" s="163"/>
      <c r="AH60" s="163"/>
      <c r="AI60" s="163"/>
      <c r="AJ60" s="163"/>
      <c r="AK60" s="163"/>
      <c r="AL60" s="94"/>
      <c r="AM60" s="94"/>
      <c r="AN60" s="94"/>
      <c r="AO60" s="391"/>
      <c r="AP60" s="345"/>
      <c r="AQ60" s="44"/>
      <c r="AR60" s="371"/>
      <c r="AS60" s="371"/>
      <c r="AT60" s="371"/>
      <c r="AU60" s="238"/>
      <c r="AV60" s="238"/>
      <c r="AW60" s="163"/>
      <c r="AX60" s="163"/>
      <c r="AY60" s="28"/>
      <c r="AZ60" s="28"/>
      <c r="BA60" s="28"/>
      <c r="BB60" s="3"/>
      <c r="BC60" s="3"/>
      <c r="BD60" s="3"/>
      <c r="BG60" s="3"/>
    </row>
    <row r="61" spans="1:59" ht="12.75" customHeight="1" x14ac:dyDescent="0.2">
      <c r="A61" s="10" t="s">
        <v>190</v>
      </c>
      <c r="B61" s="91"/>
      <c r="C61" s="94"/>
      <c r="D61" s="94"/>
      <c r="E61" s="94"/>
      <c r="F61" s="488"/>
      <c r="G61" s="488"/>
      <c r="H61" s="488"/>
      <c r="I61" s="488"/>
      <c r="J61" s="488"/>
      <c r="K61" s="488"/>
      <c r="L61" s="488"/>
      <c r="M61" s="488"/>
      <c r="N61" s="94"/>
      <c r="O61" s="94"/>
      <c r="P61" s="94"/>
      <c r="Q61" s="94"/>
      <c r="R61" s="94"/>
      <c r="S61" s="94"/>
      <c r="T61" s="94"/>
      <c r="U61" s="94"/>
      <c r="V61" s="94"/>
      <c r="W61" s="94"/>
      <c r="X61" s="94"/>
      <c r="Y61" s="94"/>
      <c r="Z61" s="94"/>
      <c r="AA61" s="268"/>
      <c r="AB61" s="94"/>
      <c r="AC61" s="94"/>
      <c r="AD61" s="94"/>
      <c r="AE61" s="94"/>
      <c r="AF61" s="94"/>
      <c r="AG61" s="6"/>
      <c r="AH61" s="94"/>
      <c r="AI61" s="6"/>
      <c r="AJ61" s="6"/>
      <c r="AK61" s="94"/>
      <c r="AL61" s="94"/>
      <c r="AM61" s="94"/>
      <c r="AN61" s="94"/>
      <c r="AO61" s="373"/>
      <c r="AP61" s="373"/>
      <c r="AQ61" s="94"/>
      <c r="AR61" s="373"/>
      <c r="AS61" s="373"/>
      <c r="AT61" s="373"/>
      <c r="AU61" s="94"/>
      <c r="AV61" s="94"/>
      <c r="AW61" s="94"/>
      <c r="AX61" s="94"/>
      <c r="AY61" s="28"/>
      <c r="AZ61" s="28"/>
      <c r="BA61" s="28"/>
      <c r="BB61" s="3"/>
      <c r="BC61" s="3"/>
      <c r="BD61" s="3"/>
      <c r="BG61" s="3"/>
    </row>
    <row r="62" spans="1:59" ht="12.75" customHeight="1" x14ac:dyDescent="0.2">
      <c r="C62" s="2493" t="s">
        <v>327</v>
      </c>
      <c r="D62" s="2494"/>
      <c r="E62" s="187"/>
      <c r="F62" s="276"/>
      <c r="G62" s="276"/>
      <c r="H62" s="276"/>
      <c r="I62" s="17"/>
      <c r="J62" s="276"/>
      <c r="K62" s="276"/>
      <c r="L62" s="276"/>
      <c r="M62" s="17"/>
      <c r="N62" s="15"/>
      <c r="O62" s="16"/>
      <c r="P62" s="276"/>
      <c r="Q62" s="17"/>
      <c r="R62" s="15"/>
      <c r="S62" s="16"/>
      <c r="T62" s="276"/>
      <c r="U62" s="17"/>
      <c r="V62" s="486"/>
      <c r="W62" s="16"/>
      <c r="X62" s="2"/>
      <c r="Y62" s="17"/>
      <c r="Z62" s="16"/>
      <c r="AA62" s="486"/>
      <c r="AB62" s="276"/>
      <c r="AC62" s="17"/>
      <c r="AD62" s="16"/>
      <c r="AE62" s="16"/>
      <c r="AF62" s="16"/>
      <c r="AG62" s="16"/>
      <c r="AH62" s="20"/>
      <c r="AI62" s="17"/>
      <c r="AJ62" s="17"/>
      <c r="AK62" s="17"/>
      <c r="AL62" s="22"/>
      <c r="AM62" s="450" t="s">
        <v>311</v>
      </c>
      <c r="AN62" s="438"/>
      <c r="AO62" s="438" t="s">
        <v>296</v>
      </c>
      <c r="AP62" s="439"/>
      <c r="AQ62" s="94"/>
      <c r="AR62" s="535"/>
      <c r="AS62" s="469"/>
      <c r="AT62" s="405"/>
      <c r="AU62" s="46"/>
      <c r="AV62" s="46"/>
      <c r="AW62" s="129"/>
      <c r="AX62" s="127"/>
      <c r="AY62" s="46"/>
      <c r="AZ62" s="28"/>
      <c r="BA62" s="28"/>
      <c r="BB62" s="23"/>
      <c r="BC62" s="3"/>
      <c r="BD62" s="3"/>
      <c r="BG62" s="3"/>
    </row>
    <row r="63" spans="1:59" ht="12.75" customHeight="1" x14ac:dyDescent="0.2">
      <c r="C63" s="2495" t="s">
        <v>39</v>
      </c>
      <c r="D63" s="2496"/>
      <c r="E63" s="358"/>
      <c r="F63" s="19" t="s">
        <v>330</v>
      </c>
      <c r="G63" s="19" t="s">
        <v>329</v>
      </c>
      <c r="H63" s="19" t="s">
        <v>328</v>
      </c>
      <c r="I63" s="12" t="s">
        <v>326</v>
      </c>
      <c r="J63" s="19" t="s">
        <v>282</v>
      </c>
      <c r="K63" s="19" t="s">
        <v>283</v>
      </c>
      <c r="L63" s="19" t="s">
        <v>284</v>
      </c>
      <c r="M63" s="12" t="s">
        <v>285</v>
      </c>
      <c r="N63" s="18" t="s">
        <v>220</v>
      </c>
      <c r="O63" s="19" t="s">
        <v>221</v>
      </c>
      <c r="P63" s="19" t="s">
        <v>222</v>
      </c>
      <c r="Q63" s="12" t="s">
        <v>219</v>
      </c>
      <c r="R63" s="18" t="s">
        <v>185</v>
      </c>
      <c r="S63" s="19" t="s">
        <v>186</v>
      </c>
      <c r="T63" s="19" t="s">
        <v>187</v>
      </c>
      <c r="U63" s="12" t="s">
        <v>188</v>
      </c>
      <c r="V63" s="19" t="s">
        <v>118</v>
      </c>
      <c r="W63" s="19" t="s">
        <v>117</v>
      </c>
      <c r="X63" s="19" t="s">
        <v>116</v>
      </c>
      <c r="Y63" s="12" t="s">
        <v>115</v>
      </c>
      <c r="Z63" s="19" t="s">
        <v>83</v>
      </c>
      <c r="AA63" s="19" t="s">
        <v>84</v>
      </c>
      <c r="AB63" s="19" t="s">
        <v>85</v>
      </c>
      <c r="AC63" s="12" t="s">
        <v>30</v>
      </c>
      <c r="AD63" s="19" t="s">
        <v>31</v>
      </c>
      <c r="AE63" s="19" t="s">
        <v>32</v>
      </c>
      <c r="AF63" s="19" t="s">
        <v>33</v>
      </c>
      <c r="AG63" s="19" t="s">
        <v>34</v>
      </c>
      <c r="AH63" s="21" t="s">
        <v>35</v>
      </c>
      <c r="AI63" s="12" t="s">
        <v>36</v>
      </c>
      <c r="AJ63" s="12" t="s">
        <v>37</v>
      </c>
      <c r="AK63" s="12" t="s">
        <v>38</v>
      </c>
      <c r="AL63" s="187"/>
      <c r="AM63" s="19" t="s">
        <v>283</v>
      </c>
      <c r="AN63" s="19" t="s">
        <v>221</v>
      </c>
      <c r="AO63" s="2497" t="s">
        <v>39</v>
      </c>
      <c r="AP63" s="2496"/>
      <c r="AQ63" s="94"/>
      <c r="AR63" s="18" t="s">
        <v>287</v>
      </c>
      <c r="AS63" s="18" t="s">
        <v>224</v>
      </c>
      <c r="AT63" s="18" t="s">
        <v>120</v>
      </c>
      <c r="AU63" s="18" t="s">
        <v>119</v>
      </c>
      <c r="AV63" s="18" t="s">
        <v>43</v>
      </c>
      <c r="AW63" s="18" t="s">
        <v>40</v>
      </c>
      <c r="AX63" s="21" t="s">
        <v>41</v>
      </c>
      <c r="AY63" s="21" t="s">
        <v>138</v>
      </c>
      <c r="AZ63" s="28"/>
      <c r="BA63" s="28"/>
      <c r="BB63" s="23"/>
      <c r="BC63" s="3"/>
      <c r="BD63" s="3"/>
      <c r="BG63" s="3"/>
    </row>
    <row r="64" spans="1:59" ht="12.75" customHeight="1" x14ac:dyDescent="0.2">
      <c r="A64" s="44"/>
      <c r="B64" s="6" t="s">
        <v>312</v>
      </c>
      <c r="C64" s="45">
        <f t="shared" ref="C64:C70" si="38">I64-M64</f>
        <v>-205</v>
      </c>
      <c r="D64" s="503">
        <f t="shared" ref="D64:D70" si="39">IF(OR((C64/M64)&gt;3,(C64/M64)&lt;-3),"n.m.",(C64/M64))</f>
        <v>-1.1314090181577349E-2</v>
      </c>
      <c r="E64" s="47"/>
      <c r="F64" s="505"/>
      <c r="G64" s="505"/>
      <c r="H64" s="505"/>
      <c r="I64" s="26">
        <v>17914</v>
      </c>
      <c r="J64" s="505">
        <v>15889</v>
      </c>
      <c r="K64" s="505">
        <v>16583</v>
      </c>
      <c r="L64" s="505">
        <v>17058</v>
      </c>
      <c r="M64" s="26">
        <v>18119</v>
      </c>
      <c r="N64" s="28">
        <v>11991</v>
      </c>
      <c r="O64" s="465">
        <v>11693</v>
      </c>
      <c r="P64" s="163">
        <v>11987</v>
      </c>
      <c r="Q64" s="26">
        <v>12758</v>
      </c>
      <c r="R64" s="28">
        <v>15209</v>
      </c>
      <c r="S64" s="163">
        <v>15284</v>
      </c>
      <c r="T64" s="28">
        <v>13899</v>
      </c>
      <c r="U64" s="26">
        <v>13805</v>
      </c>
      <c r="V64" s="28">
        <v>10539</v>
      </c>
      <c r="W64" s="163">
        <v>10095</v>
      </c>
      <c r="X64" s="28">
        <v>10597</v>
      </c>
      <c r="Y64" s="26">
        <v>11230</v>
      </c>
      <c r="Z64" s="28">
        <v>11862</v>
      </c>
      <c r="AA64" s="163">
        <v>10791</v>
      </c>
      <c r="AB64" s="26">
        <v>13600</v>
      </c>
      <c r="AC64" s="26">
        <v>12602</v>
      </c>
      <c r="AD64" s="255">
        <v>29584</v>
      </c>
      <c r="AE64" s="94"/>
      <c r="AF64" s="94"/>
      <c r="AG64" s="6"/>
      <c r="AH64" s="94"/>
      <c r="AI64" s="6"/>
      <c r="AJ64" s="6"/>
      <c r="AK64" s="94"/>
      <c r="AL64" s="47"/>
      <c r="AM64" s="238">
        <f t="shared" ref="AM64:AM69" si="40">SUM(K64:M64)</f>
        <v>51760</v>
      </c>
      <c r="AN64" s="238">
        <f t="shared" ref="AN64:AN69" si="41">SUM(O64:Q64)</f>
        <v>36438</v>
      </c>
      <c r="AO64" s="401">
        <f t="shared" ref="AO64:AO70" si="42">AR64-AS64</f>
        <v>19220</v>
      </c>
      <c r="AP64" s="392">
        <f>IF(OR((AO64/AS64)&gt;3,(AO64/AS64)&lt;-3),"n.m.",(AO64/AS64))</f>
        <v>0.39686964422143756</v>
      </c>
      <c r="AQ64" s="94"/>
      <c r="AR64" s="375">
        <f t="shared" ref="AR64:AR69" si="43">SUM(J64:M64)</f>
        <v>67649</v>
      </c>
      <c r="AS64" s="375">
        <f t="shared" ref="AS64:AS69" si="44">SUM(N64:Q64)</f>
        <v>48429</v>
      </c>
      <c r="AT64" s="379">
        <v>58197</v>
      </c>
      <c r="AU64" s="37">
        <v>42461</v>
      </c>
      <c r="AV64" s="37">
        <v>48855</v>
      </c>
      <c r="AW64" s="37">
        <v>47101</v>
      </c>
      <c r="AX64" s="37">
        <v>46312</v>
      </c>
      <c r="AY64" s="37">
        <v>20817</v>
      </c>
      <c r="AZ64" s="28"/>
      <c r="BA64" s="28"/>
      <c r="BB64" s="23"/>
      <c r="BC64" s="3"/>
      <c r="BD64" s="3"/>
      <c r="BG64" s="3"/>
    </row>
    <row r="65" spans="1:59" ht="12.75" customHeight="1" x14ac:dyDescent="0.2">
      <c r="A65" s="44"/>
      <c r="B65" s="6" t="s">
        <v>62</v>
      </c>
      <c r="C65" s="45">
        <f t="shared" si="38"/>
        <v>9051</v>
      </c>
      <c r="D65" s="503">
        <f t="shared" si="39"/>
        <v>2.2919726513041274</v>
      </c>
      <c r="E65" s="47"/>
      <c r="F65" s="505"/>
      <c r="G65" s="505"/>
      <c r="H65" s="505"/>
      <c r="I65" s="26">
        <v>13000</v>
      </c>
      <c r="J65" s="505">
        <v>9784</v>
      </c>
      <c r="K65" s="505">
        <v>3629</v>
      </c>
      <c r="L65" s="505">
        <v>6842</v>
      </c>
      <c r="M65" s="26">
        <v>3949</v>
      </c>
      <c r="N65" s="28">
        <v>3942</v>
      </c>
      <c r="O65" s="465">
        <v>5342</v>
      </c>
      <c r="P65" s="163">
        <v>4651</v>
      </c>
      <c r="Q65" s="26">
        <v>11486</v>
      </c>
      <c r="R65" s="28">
        <v>11091</v>
      </c>
      <c r="S65" s="163">
        <v>15764</v>
      </c>
      <c r="T65" s="28">
        <v>6218</v>
      </c>
      <c r="U65" s="26">
        <v>9888</v>
      </c>
      <c r="V65" s="28">
        <v>4688</v>
      </c>
      <c r="W65" s="163">
        <v>11947</v>
      </c>
      <c r="X65" s="28">
        <v>8461</v>
      </c>
      <c r="Y65" s="26">
        <v>12184</v>
      </c>
      <c r="Z65" s="28">
        <v>2110</v>
      </c>
      <c r="AA65" s="163">
        <v>74</v>
      </c>
      <c r="AB65" s="26">
        <v>2233</v>
      </c>
      <c r="AC65" s="26">
        <v>8627</v>
      </c>
      <c r="AD65" s="255">
        <v>68274</v>
      </c>
      <c r="AE65" s="94">
        <v>0</v>
      </c>
      <c r="AF65" s="94">
        <v>0</v>
      </c>
      <c r="AG65" s="6">
        <v>0</v>
      </c>
      <c r="AH65" s="94">
        <v>0</v>
      </c>
      <c r="AI65" s="6">
        <v>0</v>
      </c>
      <c r="AJ65" s="6">
        <v>0</v>
      </c>
      <c r="AK65" s="94">
        <v>0</v>
      </c>
      <c r="AL65" s="47"/>
      <c r="AM65" s="238">
        <f t="shared" si="40"/>
        <v>14420</v>
      </c>
      <c r="AN65" s="238">
        <f t="shared" si="41"/>
        <v>21479</v>
      </c>
      <c r="AO65" s="395">
        <f t="shared" si="42"/>
        <v>-1217</v>
      </c>
      <c r="AP65" s="392">
        <f>IF(OR((AO65/AS65)&gt;3,(AO65/AS65)&lt;-3),"n.m.",(AO65/AS65))</f>
        <v>-4.7873805121749734E-2</v>
      </c>
      <c r="AQ65" s="94"/>
      <c r="AR65" s="375">
        <f t="shared" si="43"/>
        <v>24204</v>
      </c>
      <c r="AS65" s="375">
        <f t="shared" si="44"/>
        <v>25421</v>
      </c>
      <c r="AT65" s="379">
        <v>42961</v>
      </c>
      <c r="AU65" s="37">
        <v>37280</v>
      </c>
      <c r="AV65" s="37">
        <v>13044</v>
      </c>
      <c r="AW65" s="37">
        <v>34077</v>
      </c>
      <c r="AX65" s="37">
        <v>20909</v>
      </c>
      <c r="AY65" s="37">
        <f>7416-4509</f>
        <v>2907</v>
      </c>
      <c r="AZ65" s="28"/>
      <c r="BA65" s="28"/>
      <c r="BB65" s="23"/>
      <c r="BC65" s="3"/>
      <c r="BD65" s="3"/>
      <c r="BG65" s="3"/>
    </row>
    <row r="66" spans="1:59" ht="12.75" customHeight="1" x14ac:dyDescent="0.2">
      <c r="A66" s="44"/>
      <c r="B66" s="6" t="s">
        <v>203</v>
      </c>
      <c r="C66" s="45">
        <f t="shared" si="38"/>
        <v>3005</v>
      </c>
      <c r="D66" s="503">
        <f t="shared" si="39"/>
        <v>0.8351862145636465</v>
      </c>
      <c r="E66" s="47"/>
      <c r="F66" s="512"/>
      <c r="G66" s="512"/>
      <c r="H66" s="512"/>
      <c r="I66" s="26">
        <v>6603</v>
      </c>
      <c r="J66" s="512">
        <v>6074</v>
      </c>
      <c r="K66" s="512">
        <v>5988</v>
      </c>
      <c r="L66" s="512">
        <v>5624</v>
      </c>
      <c r="M66" s="26">
        <v>3598</v>
      </c>
      <c r="N66" s="28">
        <v>1320</v>
      </c>
      <c r="O66" s="28">
        <v>838</v>
      </c>
      <c r="P66" s="28">
        <v>1962</v>
      </c>
      <c r="Q66" s="26">
        <v>2960</v>
      </c>
      <c r="R66" s="28">
        <v>2860</v>
      </c>
      <c r="S66" s="28">
        <v>2926</v>
      </c>
      <c r="T66" s="28">
        <v>740</v>
      </c>
      <c r="U66" s="26">
        <v>3062</v>
      </c>
      <c r="V66" s="28">
        <v>4933</v>
      </c>
      <c r="W66" s="28">
        <v>1525</v>
      </c>
      <c r="X66" s="28">
        <v>11768</v>
      </c>
      <c r="Y66" s="26">
        <v>3665</v>
      </c>
      <c r="Z66" s="28">
        <v>3141</v>
      </c>
      <c r="AA66" s="28">
        <v>5516</v>
      </c>
      <c r="AB66" s="26">
        <v>2314</v>
      </c>
      <c r="AC66" s="26">
        <v>4200</v>
      </c>
      <c r="AD66" s="255"/>
      <c r="AE66" s="94"/>
      <c r="AF66" s="94"/>
      <c r="AG66" s="6"/>
      <c r="AH66" s="94"/>
      <c r="AI66" s="6"/>
      <c r="AJ66" s="6"/>
      <c r="AK66" s="94"/>
      <c r="AL66" s="47"/>
      <c r="AM66" s="238">
        <f t="shared" si="40"/>
        <v>15210</v>
      </c>
      <c r="AN66" s="238">
        <f t="shared" si="41"/>
        <v>5760</v>
      </c>
      <c r="AO66" s="395">
        <f t="shared" si="42"/>
        <v>14204</v>
      </c>
      <c r="AP66" s="392">
        <f>IF(OR((AO66/AS66)&gt;3,(AO66/AS66)&lt;-3),"n.m.",(AO66/AS66))</f>
        <v>2.0062146892655366</v>
      </c>
      <c r="AQ66" s="94"/>
      <c r="AR66" s="375">
        <f t="shared" si="43"/>
        <v>21284</v>
      </c>
      <c r="AS66" s="375">
        <f t="shared" si="44"/>
        <v>7080</v>
      </c>
      <c r="AT66" s="379">
        <v>9588</v>
      </c>
      <c r="AU66" s="37">
        <v>21891</v>
      </c>
      <c r="AV66" s="37">
        <v>15171</v>
      </c>
      <c r="AW66" s="37">
        <v>11589</v>
      </c>
      <c r="AX66" s="37">
        <v>12740</v>
      </c>
      <c r="AY66" s="37">
        <v>4509</v>
      </c>
      <c r="AZ66" s="28"/>
      <c r="BA66" s="28"/>
      <c r="BB66" s="23"/>
      <c r="BC66" s="3"/>
      <c r="BD66" s="3"/>
      <c r="BG66" s="3"/>
    </row>
    <row r="67" spans="1:59" ht="12.75" customHeight="1" x14ac:dyDescent="0.2">
      <c r="A67" s="44"/>
      <c r="B67" s="6" t="s">
        <v>63</v>
      </c>
      <c r="C67" s="45">
        <f t="shared" si="38"/>
        <v>9066</v>
      </c>
      <c r="D67" s="503">
        <f t="shared" si="39"/>
        <v>1.6677704194260485</v>
      </c>
      <c r="E67" s="47"/>
      <c r="F67" s="512"/>
      <c r="G67" s="512"/>
      <c r="H67" s="512"/>
      <c r="I67" s="26">
        <v>14502</v>
      </c>
      <c r="J67" s="512">
        <v>13382</v>
      </c>
      <c r="K67" s="512">
        <v>11455</v>
      </c>
      <c r="L67" s="512">
        <v>9853</v>
      </c>
      <c r="M67" s="26">
        <v>5436</v>
      </c>
      <c r="N67" s="28">
        <v>1678</v>
      </c>
      <c r="O67" s="28">
        <v>0</v>
      </c>
      <c r="P67" s="28">
        <v>0</v>
      </c>
      <c r="Q67" s="26">
        <v>0</v>
      </c>
      <c r="R67" s="28">
        <v>0</v>
      </c>
      <c r="S67" s="28">
        <v>0</v>
      </c>
      <c r="T67" s="28">
        <v>0</v>
      </c>
      <c r="U67" s="26">
        <v>0</v>
      </c>
      <c r="V67" s="28">
        <v>0</v>
      </c>
      <c r="W67" s="28">
        <v>0</v>
      </c>
      <c r="X67" s="28">
        <v>0</v>
      </c>
      <c r="Y67" s="26">
        <v>0</v>
      </c>
      <c r="Z67" s="28">
        <v>1</v>
      </c>
      <c r="AA67" s="163">
        <v>-1</v>
      </c>
      <c r="AB67" s="26">
        <v>0</v>
      </c>
      <c r="AC67" s="26">
        <v>0</v>
      </c>
      <c r="AD67" s="255">
        <v>5363</v>
      </c>
      <c r="AE67" s="94"/>
      <c r="AF67" s="94"/>
      <c r="AG67" s="6"/>
      <c r="AH67" s="94"/>
      <c r="AI67" s="6"/>
      <c r="AJ67" s="6"/>
      <c r="AK67" s="94"/>
      <c r="AL67" s="47"/>
      <c r="AM67" s="28">
        <f t="shared" si="40"/>
        <v>26744</v>
      </c>
      <c r="AN67" s="28">
        <f t="shared" si="41"/>
        <v>0</v>
      </c>
      <c r="AO67" s="395">
        <f t="shared" si="42"/>
        <v>38448</v>
      </c>
      <c r="AP67" s="327" t="s">
        <v>42</v>
      </c>
      <c r="AQ67" s="94"/>
      <c r="AR67" s="375">
        <f t="shared" si="43"/>
        <v>40126</v>
      </c>
      <c r="AS67" s="375">
        <f t="shared" si="44"/>
        <v>1678</v>
      </c>
      <c r="AT67" s="379">
        <v>0</v>
      </c>
      <c r="AU67" s="37">
        <v>0</v>
      </c>
      <c r="AV67" s="37">
        <v>0</v>
      </c>
      <c r="AW67" s="37">
        <v>0</v>
      </c>
      <c r="AX67" s="37">
        <v>-1634</v>
      </c>
      <c r="AY67" s="37">
        <v>-1266</v>
      </c>
      <c r="AZ67" s="28"/>
      <c r="BA67" s="28"/>
      <c r="BB67" s="23"/>
      <c r="BC67" s="3"/>
      <c r="BD67" s="3"/>
      <c r="BG67" s="3"/>
    </row>
    <row r="68" spans="1:59" ht="12.75" customHeight="1" x14ac:dyDescent="0.2">
      <c r="A68" s="44"/>
      <c r="B68" s="6" t="s">
        <v>64</v>
      </c>
      <c r="C68" s="45">
        <f t="shared" si="38"/>
        <v>137</v>
      </c>
      <c r="D68" s="503">
        <f t="shared" si="39"/>
        <v>0.40412979351032446</v>
      </c>
      <c r="E68" s="47"/>
      <c r="F68" s="505"/>
      <c r="G68" s="505"/>
      <c r="H68" s="505"/>
      <c r="I68" s="26">
        <v>476</v>
      </c>
      <c r="J68" s="505">
        <v>420</v>
      </c>
      <c r="K68" s="505">
        <v>461</v>
      </c>
      <c r="L68" s="505">
        <v>399</v>
      </c>
      <c r="M68" s="26">
        <v>339</v>
      </c>
      <c r="N68" s="28">
        <v>25</v>
      </c>
      <c r="O68" s="465">
        <v>13</v>
      </c>
      <c r="P68" s="163">
        <v>16</v>
      </c>
      <c r="Q68" s="26">
        <v>19</v>
      </c>
      <c r="R68" s="28">
        <v>29</v>
      </c>
      <c r="S68" s="163">
        <v>18</v>
      </c>
      <c r="T68" s="28">
        <v>17</v>
      </c>
      <c r="U68" s="26">
        <v>17</v>
      </c>
      <c r="V68" s="28">
        <v>-66</v>
      </c>
      <c r="W68" s="163">
        <v>-778</v>
      </c>
      <c r="X68" s="28">
        <v>-794</v>
      </c>
      <c r="Y68" s="26">
        <v>-17</v>
      </c>
      <c r="Z68" s="28">
        <v>29</v>
      </c>
      <c r="AA68" s="163">
        <v>67</v>
      </c>
      <c r="AB68" s="26">
        <v>101</v>
      </c>
      <c r="AC68" s="26">
        <v>145</v>
      </c>
      <c r="AD68" s="255">
        <v>1512</v>
      </c>
      <c r="AE68" s="94"/>
      <c r="AF68" s="94"/>
      <c r="AG68" s="6"/>
      <c r="AH68" s="94"/>
      <c r="AI68" s="6"/>
      <c r="AJ68" s="6"/>
      <c r="AK68" s="94"/>
      <c r="AL68" s="47"/>
      <c r="AM68" s="238">
        <f t="shared" si="40"/>
        <v>1199</v>
      </c>
      <c r="AN68" s="238">
        <f t="shared" si="41"/>
        <v>48</v>
      </c>
      <c r="AO68" s="395">
        <f t="shared" si="42"/>
        <v>1546</v>
      </c>
      <c r="AP68" s="327" t="str">
        <f>IF(OR((AO68/AS68)&gt;3,(AO68/AS68)&lt;-3),"n.m.",(AO68/AS68))</f>
        <v>n.m.</v>
      </c>
      <c r="AQ68" s="94"/>
      <c r="AR68" s="375">
        <f t="shared" si="43"/>
        <v>1619</v>
      </c>
      <c r="AS68" s="375">
        <f t="shared" si="44"/>
        <v>73</v>
      </c>
      <c r="AT68" s="379">
        <v>81</v>
      </c>
      <c r="AU68" s="37">
        <v>-1655</v>
      </c>
      <c r="AV68" s="37">
        <v>342</v>
      </c>
      <c r="AW68" s="37">
        <v>1092</v>
      </c>
      <c r="AX68" s="37">
        <v>1750</v>
      </c>
      <c r="AY68" s="37">
        <f>1146-8255</f>
        <v>-7109</v>
      </c>
      <c r="AZ68" s="28"/>
      <c r="BA68" s="28"/>
      <c r="BB68" s="23"/>
      <c r="BC68" s="3"/>
      <c r="BD68" s="3"/>
      <c r="BG68" s="3"/>
    </row>
    <row r="69" spans="1:59" ht="12.75" customHeight="1" x14ac:dyDescent="0.2">
      <c r="A69" s="126"/>
      <c r="B69" s="6" t="s">
        <v>65</v>
      </c>
      <c r="C69" s="45">
        <f t="shared" si="38"/>
        <v>653</v>
      </c>
      <c r="D69" s="503">
        <f t="shared" si="39"/>
        <v>2.5810276679841899</v>
      </c>
      <c r="E69" s="360"/>
      <c r="F69" s="505"/>
      <c r="G69" s="505"/>
      <c r="H69" s="505"/>
      <c r="I69" s="26">
        <v>906</v>
      </c>
      <c r="J69" s="505">
        <v>139</v>
      </c>
      <c r="K69" s="505">
        <v>79</v>
      </c>
      <c r="L69" s="505">
        <v>232</v>
      </c>
      <c r="M69" s="26">
        <v>253</v>
      </c>
      <c r="N69" s="28">
        <v>321</v>
      </c>
      <c r="O69" s="465">
        <v>117</v>
      </c>
      <c r="P69" s="163">
        <v>-30</v>
      </c>
      <c r="Q69" s="26">
        <v>-28</v>
      </c>
      <c r="R69" s="28">
        <v>9</v>
      </c>
      <c r="S69" s="163">
        <v>181</v>
      </c>
      <c r="T69" s="28">
        <v>219</v>
      </c>
      <c r="U69" s="26">
        <v>-66</v>
      </c>
      <c r="V69" s="28">
        <v>190</v>
      </c>
      <c r="W69" s="163">
        <v>28</v>
      </c>
      <c r="X69" s="28">
        <v>105</v>
      </c>
      <c r="Y69" s="26">
        <v>117</v>
      </c>
      <c r="Z69" s="28">
        <v>69</v>
      </c>
      <c r="AA69" s="163">
        <v>86</v>
      </c>
      <c r="AB69" s="26">
        <v>36</v>
      </c>
      <c r="AC69" s="26">
        <v>47</v>
      </c>
      <c r="AD69" s="256">
        <v>60</v>
      </c>
      <c r="AE69" s="13"/>
      <c r="AF69" s="13"/>
      <c r="AG69" s="13"/>
      <c r="AH69" s="13"/>
      <c r="AI69" s="13"/>
      <c r="AJ69" s="13"/>
      <c r="AK69" s="13"/>
      <c r="AL69" s="47"/>
      <c r="AM69" s="238">
        <f t="shared" si="40"/>
        <v>564</v>
      </c>
      <c r="AN69" s="238">
        <f t="shared" si="41"/>
        <v>59</v>
      </c>
      <c r="AO69" s="396">
        <f t="shared" si="42"/>
        <v>323</v>
      </c>
      <c r="AP69" s="327">
        <f>IF(OR((AO69/AS69)&gt;3,(AO69/AS69)&lt;-3),"n.m.",(AO69/AS69))</f>
        <v>0.85</v>
      </c>
      <c r="AQ69" s="44"/>
      <c r="AR69" s="375">
        <f t="shared" si="43"/>
        <v>703</v>
      </c>
      <c r="AS69" s="375">
        <f t="shared" si="44"/>
        <v>380</v>
      </c>
      <c r="AT69" s="379">
        <v>343</v>
      </c>
      <c r="AU69" s="37">
        <v>440</v>
      </c>
      <c r="AV69" s="37">
        <v>238</v>
      </c>
      <c r="AW69" s="37">
        <v>345</v>
      </c>
      <c r="AX69" s="37">
        <v>596</v>
      </c>
      <c r="AY69" s="37">
        <v>103</v>
      </c>
      <c r="AZ69" s="28"/>
      <c r="BA69" s="28"/>
      <c r="BB69" s="23"/>
      <c r="BC69" s="3"/>
      <c r="BD69" s="3"/>
      <c r="BG69" s="3"/>
    </row>
    <row r="70" spans="1:59" ht="12.75" customHeight="1" x14ac:dyDescent="0.2">
      <c r="A70" s="126"/>
      <c r="B70" s="6"/>
      <c r="C70" s="341">
        <f t="shared" si="38"/>
        <v>21707</v>
      </c>
      <c r="D70" s="342">
        <f t="shared" si="39"/>
        <v>0.68489303969205528</v>
      </c>
      <c r="E70" s="22"/>
      <c r="F70" s="241">
        <f>SUM(F64:F69)</f>
        <v>0</v>
      </c>
      <c r="G70" s="241">
        <f>SUM(G64:G69)</f>
        <v>0</v>
      </c>
      <c r="H70" s="241">
        <f>SUM(H64:H69)</f>
        <v>0</v>
      </c>
      <c r="I70" s="344">
        <f>SUM(I64:I69)</f>
        <v>53401</v>
      </c>
      <c r="J70" s="241">
        <f t="shared" ref="J70:O70" si="45">SUM(J64:J69)</f>
        <v>45688</v>
      </c>
      <c r="K70" s="241">
        <f t="shared" si="45"/>
        <v>38195</v>
      </c>
      <c r="L70" s="241">
        <f t="shared" si="45"/>
        <v>40008</v>
      </c>
      <c r="M70" s="344">
        <f t="shared" si="45"/>
        <v>31694</v>
      </c>
      <c r="N70" s="241">
        <f t="shared" si="45"/>
        <v>19277</v>
      </c>
      <c r="O70" s="241">
        <f t="shared" si="45"/>
        <v>18003</v>
      </c>
      <c r="P70" s="241">
        <f>SUM(P64:P69)</f>
        <v>18586</v>
      </c>
      <c r="Q70" s="344">
        <f>SUM(Q64:Q69)</f>
        <v>27195</v>
      </c>
      <c r="R70" s="241">
        <v>29198</v>
      </c>
      <c r="S70" s="241">
        <v>34173</v>
      </c>
      <c r="T70" s="241">
        <v>21093</v>
      </c>
      <c r="U70" s="344">
        <v>26706</v>
      </c>
      <c r="V70" s="241">
        <v>20284</v>
      </c>
      <c r="W70" s="241">
        <v>22817</v>
      </c>
      <c r="X70" s="241">
        <v>30137</v>
      </c>
      <c r="Y70" s="344">
        <v>27179</v>
      </c>
      <c r="Z70" s="240">
        <v>17212</v>
      </c>
      <c r="AA70" s="241">
        <v>16533</v>
      </c>
      <c r="AB70" s="344">
        <v>18284</v>
      </c>
      <c r="AC70" s="344">
        <v>25621</v>
      </c>
      <c r="AD70" s="344">
        <v>104793</v>
      </c>
      <c r="AE70" s="2">
        <v>0</v>
      </c>
      <c r="AF70" s="2">
        <v>0</v>
      </c>
      <c r="AG70" s="2">
        <v>0</v>
      </c>
      <c r="AH70" s="2">
        <v>0</v>
      </c>
      <c r="AI70" s="2">
        <v>0</v>
      </c>
      <c r="AJ70" s="2">
        <v>0</v>
      </c>
      <c r="AK70" s="2">
        <v>0</v>
      </c>
      <c r="AL70" s="47"/>
      <c r="AM70" s="241">
        <f>SUM(AM64:AM69)</f>
        <v>109897</v>
      </c>
      <c r="AN70" s="241">
        <f>SUM(AN64:AN69)</f>
        <v>63784</v>
      </c>
      <c r="AO70" s="397">
        <f t="shared" si="42"/>
        <v>72524</v>
      </c>
      <c r="AP70" s="390">
        <f>AO70/AS70</f>
        <v>0.87314142618075874</v>
      </c>
      <c r="AQ70">
        <v>0</v>
      </c>
      <c r="AR70" s="381">
        <f>SUM(AR64:AR69)</f>
        <v>155585</v>
      </c>
      <c r="AS70" s="381">
        <f>SUM(AS64:AS69)</f>
        <v>83061</v>
      </c>
      <c r="AT70" s="381">
        <v>111170</v>
      </c>
      <c r="AU70" s="240">
        <v>100417</v>
      </c>
      <c r="AV70" s="343">
        <v>77650</v>
      </c>
      <c r="AW70" s="346">
        <v>94204</v>
      </c>
      <c r="AX70" s="347">
        <v>80673</v>
      </c>
      <c r="AY70" s="116">
        <f>SUM(AY64:AY69)</f>
        <v>19961</v>
      </c>
      <c r="AZ70" s="28"/>
      <c r="BA70" s="28"/>
      <c r="BB70" s="23"/>
      <c r="BC70" s="3"/>
      <c r="BD70" s="3"/>
      <c r="BG70" s="3"/>
    </row>
    <row r="71" spans="1:59" s="412" customFormat="1" ht="12.75" customHeight="1" x14ac:dyDescent="0.2">
      <c r="A71" s="126"/>
      <c r="B71" s="6"/>
      <c r="C71" s="265"/>
      <c r="D71" s="250"/>
      <c r="E71" s="22"/>
      <c r="F71" s="248"/>
      <c r="G71" s="248"/>
      <c r="H71" s="248"/>
      <c r="I71" s="429"/>
      <c r="J71" s="248"/>
      <c r="K71" s="248"/>
      <c r="L71" s="248"/>
      <c r="M71" s="429"/>
      <c r="N71" s="159"/>
      <c r="O71" s="248"/>
      <c r="P71" s="248"/>
      <c r="Q71" s="429"/>
      <c r="R71" s="159"/>
      <c r="S71" s="248"/>
      <c r="T71" s="248"/>
      <c r="U71" s="429"/>
      <c r="V71" s="159"/>
      <c r="W71" s="429"/>
      <c r="X71" s="429"/>
      <c r="Y71" s="429"/>
      <c r="Z71" s="238"/>
      <c r="AA71" s="238"/>
      <c r="AB71" s="238"/>
      <c r="AC71" s="238"/>
      <c r="AD71" s="238"/>
      <c r="AE71" s="2"/>
      <c r="AF71" s="2"/>
      <c r="AG71" s="2"/>
      <c r="AH71" s="2"/>
      <c r="AI71" s="2"/>
      <c r="AJ71" s="2"/>
      <c r="AK71" s="2"/>
      <c r="AL71" s="22"/>
      <c r="AM71" s="15"/>
      <c r="AN71" s="16"/>
      <c r="AO71" s="445"/>
      <c r="AP71" s="316"/>
      <c r="AR71" s="430"/>
      <c r="AS71" s="430"/>
      <c r="AT71" s="430"/>
      <c r="AU71" s="430"/>
      <c r="AV71" s="287"/>
      <c r="AW71" s="430"/>
      <c r="AX71" s="430"/>
      <c r="AY71" s="143"/>
      <c r="AZ71" s="91"/>
      <c r="BA71" s="91"/>
      <c r="BB71" s="23"/>
    </row>
    <row r="72" spans="1:59" s="412" customFormat="1" ht="13.5" customHeight="1" x14ac:dyDescent="0.2">
      <c r="A72" s="126"/>
      <c r="B72" s="6" t="s">
        <v>298</v>
      </c>
      <c r="C72" s="100">
        <f>I72-M72</f>
        <v>289</v>
      </c>
      <c r="D72" s="101">
        <f>-IF(OR((C72/M72)&gt;3,(C72/M72)&lt;-3),"n.m.",(C72/M72))</f>
        <v>0.23212851405622489</v>
      </c>
      <c r="E72" s="22"/>
      <c r="F72" s="246"/>
      <c r="G72" s="246"/>
      <c r="H72" s="246"/>
      <c r="I72" s="256">
        <v>-956</v>
      </c>
      <c r="J72" s="246">
        <v>-541</v>
      </c>
      <c r="K72" s="246">
        <v>-674</v>
      </c>
      <c r="L72" s="246">
        <v>-320</v>
      </c>
      <c r="M72" s="256">
        <v>-1245</v>
      </c>
      <c r="N72" s="158">
        <v>-1385</v>
      </c>
      <c r="O72" s="246">
        <v>-1519</v>
      </c>
      <c r="P72" s="246">
        <v>-1327</v>
      </c>
      <c r="Q72" s="256">
        <v>-1714</v>
      </c>
      <c r="R72" s="158">
        <v>-1639</v>
      </c>
      <c r="S72" s="246">
        <v>-1628</v>
      </c>
      <c r="T72" s="246">
        <v>-1323</v>
      </c>
      <c r="U72" s="256">
        <v>-1323</v>
      </c>
      <c r="V72" s="431" t="s">
        <v>177</v>
      </c>
      <c r="W72" s="432" t="s">
        <v>177</v>
      </c>
      <c r="X72" s="432" t="s">
        <v>177</v>
      </c>
      <c r="Y72" s="432" t="s">
        <v>177</v>
      </c>
      <c r="Z72" s="433"/>
      <c r="AA72" s="433"/>
      <c r="AB72" s="433"/>
      <c r="AC72" s="433"/>
      <c r="AD72" s="433"/>
      <c r="AE72" s="434"/>
      <c r="AF72" s="434"/>
      <c r="AG72" s="434"/>
      <c r="AH72" s="434"/>
      <c r="AI72" s="434"/>
      <c r="AJ72" s="434"/>
      <c r="AK72" s="434"/>
      <c r="AL72" s="470"/>
      <c r="AM72" s="158">
        <f>+SUM(K72:M72)</f>
        <v>-2239</v>
      </c>
      <c r="AN72" s="246">
        <f>SUM(O72:Q72)</f>
        <v>-4560</v>
      </c>
      <c r="AO72" s="446">
        <f>AR72-AS72</f>
        <v>3165</v>
      </c>
      <c r="AP72" s="394">
        <f>-IF(OR((AO72/AS72)&gt;3,(AO72/AS72)&lt;-3),"n.m.",(AO72/AS72))</f>
        <v>0.53238015138772077</v>
      </c>
      <c r="AQ72" s="55"/>
      <c r="AR72" s="435">
        <f>SUM(J72:M72)</f>
        <v>-2780</v>
      </c>
      <c r="AS72" s="435">
        <f>SUM(N72:Q72)</f>
        <v>-5945</v>
      </c>
      <c r="AT72" s="435">
        <f>SUM(R72:U72)</f>
        <v>-5913</v>
      </c>
      <c r="AU72" s="435" t="s">
        <v>177</v>
      </c>
      <c r="AV72" s="436" t="s">
        <v>177</v>
      </c>
      <c r="AW72" s="435" t="s">
        <v>177</v>
      </c>
      <c r="AX72" s="435" t="s">
        <v>177</v>
      </c>
      <c r="AY72" s="143"/>
      <c r="AZ72" s="91"/>
      <c r="BA72" s="91"/>
    </row>
    <row r="73" spans="1:59" s="412" customFormat="1" ht="12.75" customHeight="1" x14ac:dyDescent="0.2">
      <c r="B73" s="11"/>
      <c r="C73" s="11"/>
      <c r="D73" s="11"/>
      <c r="E73" s="11"/>
      <c r="F73" s="11"/>
      <c r="G73" s="11"/>
      <c r="H73" s="11"/>
      <c r="I73" s="13"/>
      <c r="J73" s="11"/>
      <c r="K73" s="11"/>
      <c r="L73" s="11"/>
      <c r="M73" s="13"/>
      <c r="N73" s="11"/>
      <c r="O73" s="11"/>
      <c r="P73" s="11"/>
      <c r="Q73" s="13"/>
      <c r="R73" s="11"/>
      <c r="S73" s="11"/>
      <c r="T73" s="11"/>
      <c r="U73" s="13"/>
      <c r="V73" s="11"/>
      <c r="W73" s="11"/>
      <c r="X73" s="11"/>
      <c r="Y73" s="13"/>
      <c r="Z73" s="11"/>
      <c r="AA73" s="11"/>
      <c r="AB73" s="11"/>
      <c r="AC73" s="13"/>
      <c r="AD73" s="13"/>
      <c r="AE73" s="13"/>
      <c r="AF73" s="13"/>
      <c r="AG73" s="13"/>
      <c r="AH73" s="13"/>
      <c r="AI73" s="13"/>
      <c r="AJ73" s="13"/>
      <c r="AK73" s="13"/>
      <c r="AL73" s="3"/>
      <c r="AM73" s="238"/>
      <c r="AN73" s="3"/>
      <c r="AR73" s="485"/>
      <c r="AW73" s="2"/>
      <c r="AX73" s="2"/>
      <c r="BB73" s="3"/>
      <c r="BC73" s="3"/>
    </row>
    <row r="74" spans="1:59" ht="12.75" customHeight="1" x14ac:dyDescent="0.2">
      <c r="A74" s="6" t="s">
        <v>310</v>
      </c>
      <c r="B74" s="11"/>
      <c r="C74" s="184"/>
      <c r="D74" s="184"/>
      <c r="E74" s="184"/>
      <c r="F74" s="184"/>
      <c r="G74" s="184"/>
      <c r="H74" s="184"/>
      <c r="I74" s="2"/>
      <c r="J74" s="184"/>
      <c r="K74" s="184"/>
      <c r="L74" s="184"/>
      <c r="M74" s="2"/>
      <c r="N74" s="184"/>
      <c r="O74" s="184"/>
      <c r="P74" s="184"/>
      <c r="Q74" s="2"/>
      <c r="R74" s="184"/>
      <c r="S74" s="184"/>
      <c r="T74" s="184"/>
      <c r="U74" s="2"/>
      <c r="V74" s="184"/>
      <c r="W74" s="184"/>
      <c r="X74" s="184"/>
      <c r="Y74" s="2"/>
      <c r="Z74" s="184"/>
      <c r="AA74" s="184"/>
      <c r="AB74" s="184"/>
      <c r="AC74" s="2"/>
      <c r="AG74" s="2"/>
      <c r="AI74" s="2"/>
      <c r="AJ74" s="2"/>
      <c r="AK74" s="185"/>
      <c r="AL74" s="172"/>
      <c r="AM74" s="238"/>
      <c r="AN74" s="172"/>
      <c r="AO74" s="172"/>
      <c r="AP74" s="172"/>
      <c r="AQ74" s="174"/>
      <c r="AR74" s="172"/>
      <c r="AS74" s="172"/>
      <c r="AT74" s="172"/>
      <c r="AU74" s="174"/>
      <c r="AV74" s="174"/>
      <c r="BB74" s="3"/>
      <c r="BC74" s="3"/>
      <c r="BD74" s="3"/>
    </row>
    <row r="76" spans="1:59" x14ac:dyDescent="0.2">
      <c r="A76" s="3"/>
      <c r="B76" s="3"/>
      <c r="C76" s="172"/>
      <c r="D76" s="172"/>
      <c r="E76" s="172"/>
      <c r="F76" s="512"/>
      <c r="G76" s="512"/>
      <c r="H76" s="512"/>
      <c r="I76" s="512"/>
      <c r="J76" s="512"/>
      <c r="K76" s="512"/>
      <c r="L76" s="512"/>
      <c r="M76" s="512"/>
      <c r="N76" s="28"/>
      <c r="O76" s="28"/>
      <c r="P76" s="28"/>
      <c r="Q76" s="28"/>
      <c r="R76" s="512"/>
      <c r="S76" s="512"/>
      <c r="T76" s="512"/>
      <c r="U76" s="486"/>
      <c r="V76" s="486"/>
      <c r="W76" s="486"/>
      <c r="X76" s="486"/>
      <c r="Y76" s="486"/>
      <c r="Z76" s="486"/>
      <c r="AA76" s="486"/>
      <c r="AB76" s="486"/>
      <c r="AC76" s="486"/>
      <c r="AD76" s="486"/>
      <c r="AE76" s="486"/>
      <c r="AF76" s="486"/>
      <c r="AG76" s="486"/>
      <c r="AH76" s="486"/>
      <c r="AI76" s="486"/>
      <c r="AJ76" s="486"/>
      <c r="AK76" s="486"/>
      <c r="AL76" s="486"/>
      <c r="AM76" s="486"/>
      <c r="AN76" s="486"/>
      <c r="AO76" s="395"/>
      <c r="AP76" s="374"/>
      <c r="AQ76" s="486"/>
      <c r="AR76" s="541"/>
      <c r="AS76" s="541"/>
      <c r="AT76" s="369"/>
      <c r="AU76" s="486"/>
      <c r="AV76" s="486"/>
      <c r="AW76" s="486"/>
      <c r="AX76" s="486"/>
      <c r="AY76" s="512"/>
      <c r="AZ76" s="29"/>
      <c r="BA76" s="29"/>
      <c r="BB76" s="3"/>
      <c r="BC76" s="3"/>
      <c r="BD76" s="3"/>
    </row>
    <row r="77" spans="1:59" x14ac:dyDescent="0.2">
      <c r="C77" s="44"/>
      <c r="D77" s="44"/>
      <c r="E77" s="94"/>
      <c r="F77" s="488"/>
      <c r="G77" s="488"/>
      <c r="H77" s="488"/>
      <c r="I77" s="6"/>
      <c r="J77" s="488"/>
      <c r="K77" s="488"/>
      <c r="L77" s="488"/>
      <c r="M77" s="6"/>
      <c r="N77" s="94"/>
      <c r="O77" s="94"/>
      <c r="P77" s="94"/>
      <c r="Q77" s="6"/>
      <c r="R77" s="488"/>
      <c r="S77" s="488"/>
      <c r="T77" s="488"/>
      <c r="U77" s="6"/>
      <c r="V77" s="488"/>
      <c r="W77" s="488"/>
      <c r="X77" s="488"/>
      <c r="Y77" s="6"/>
      <c r="Z77" s="488"/>
      <c r="AA77" s="488"/>
      <c r="AB77" s="488"/>
      <c r="AC77" s="6"/>
      <c r="AD77" s="486"/>
      <c r="AE77" s="486"/>
      <c r="AF77" s="486"/>
      <c r="AG77" s="486"/>
      <c r="AH77" s="486"/>
      <c r="AI77" s="486"/>
      <c r="AJ77" s="486"/>
      <c r="AK77" s="512"/>
      <c r="AL77" s="488"/>
      <c r="AM77" s="488"/>
      <c r="AN77" s="488"/>
      <c r="AO77" s="373"/>
      <c r="AP77" s="373"/>
      <c r="AQ77" s="488"/>
      <c r="AR77" s="373"/>
      <c r="AS77" s="373"/>
      <c r="AT77" s="373"/>
      <c r="AU77" s="488"/>
      <c r="AV77" s="488"/>
      <c r="AW77" s="512"/>
      <c r="AX77" s="512"/>
      <c r="AY77" s="486"/>
      <c r="AZ77" s="486"/>
      <c r="BA77" s="486"/>
      <c r="BB77" s="3"/>
      <c r="BC77" s="3"/>
      <c r="BD77" s="3"/>
    </row>
    <row r="78" spans="1:59" x14ac:dyDescent="0.2">
      <c r="C78" s="44"/>
      <c r="D78" s="44"/>
      <c r="E78" s="94"/>
      <c r="F78" s="488"/>
      <c r="G78" s="488"/>
      <c r="H78" s="488"/>
      <c r="I78" s="485"/>
      <c r="J78" s="488"/>
      <c r="K78" s="488"/>
      <c r="L78" s="488"/>
      <c r="M78" s="485"/>
      <c r="N78" s="94"/>
      <c r="O78" s="94"/>
      <c r="P78" s="94"/>
      <c r="Q78"/>
      <c r="R78" s="488"/>
      <c r="S78" s="488"/>
      <c r="T78" s="488"/>
      <c r="U78" s="486"/>
      <c r="V78" s="488"/>
      <c r="W78" s="488"/>
      <c r="X78" s="488"/>
      <c r="Y78" s="486"/>
      <c r="Z78" s="488"/>
      <c r="AA78" s="488"/>
      <c r="AB78" s="488"/>
      <c r="AC78" s="486"/>
      <c r="AD78" s="486"/>
      <c r="AE78" s="486"/>
      <c r="AF78" s="486"/>
      <c r="AG78" s="486"/>
      <c r="AH78" s="486"/>
      <c r="AI78" s="486"/>
      <c r="AJ78" s="486"/>
      <c r="AK78" s="512"/>
      <c r="AL78" s="488"/>
      <c r="AM78" s="488"/>
      <c r="AN78" s="488"/>
      <c r="AO78" s="373"/>
      <c r="AP78" s="371"/>
      <c r="AQ78" s="488"/>
      <c r="AR78" s="373"/>
      <c r="AS78" s="373"/>
      <c r="AT78" s="373"/>
      <c r="AU78" s="488"/>
      <c r="AV78" s="488"/>
      <c r="AW78" s="512"/>
      <c r="AX78" s="512"/>
      <c r="AY78" s="486"/>
      <c r="AZ78" s="486"/>
      <c r="BA78" s="486"/>
    </row>
    <row r="79" spans="1:59" x14ac:dyDescent="0.2">
      <c r="C79" s="44"/>
      <c r="D79" s="44"/>
      <c r="E79" s="94"/>
      <c r="F79" s="488"/>
      <c r="G79" s="488"/>
      <c r="H79" s="488"/>
      <c r="I79" s="485"/>
      <c r="J79" s="488"/>
      <c r="K79" s="488"/>
      <c r="L79" s="488"/>
      <c r="M79" s="485"/>
      <c r="N79" s="94"/>
      <c r="O79" s="94"/>
      <c r="P79" s="94"/>
      <c r="Q79"/>
      <c r="R79" s="488"/>
      <c r="S79" s="488"/>
      <c r="T79" s="488"/>
      <c r="U79" s="486"/>
      <c r="V79" s="488"/>
      <c r="W79" s="488"/>
      <c r="X79" s="488"/>
      <c r="Y79" s="486"/>
      <c r="Z79" s="488"/>
      <c r="AA79" s="488"/>
      <c r="AB79" s="488"/>
      <c r="AC79" s="486"/>
      <c r="AD79" s="486"/>
      <c r="AE79" s="486"/>
      <c r="AF79" s="486"/>
      <c r="AG79" s="486"/>
      <c r="AH79" s="486"/>
      <c r="AI79" s="486"/>
      <c r="AJ79" s="486"/>
      <c r="AK79" s="512"/>
      <c r="AL79" s="488"/>
      <c r="AM79" s="488"/>
      <c r="AN79" s="488"/>
      <c r="AO79" s="373"/>
      <c r="AP79" s="373"/>
      <c r="AQ79" s="488"/>
      <c r="AR79" s="373"/>
      <c r="AS79" s="373"/>
      <c r="AT79" s="373"/>
      <c r="AU79" s="488"/>
      <c r="AV79" s="488"/>
      <c r="AW79" s="6"/>
      <c r="AX79" s="6"/>
      <c r="AY79" s="486"/>
      <c r="AZ79" s="486"/>
      <c r="BA79" s="486"/>
    </row>
    <row r="80" spans="1:59" x14ac:dyDescent="0.2">
      <c r="I80" s="485"/>
      <c r="M80" s="485"/>
      <c r="Q80"/>
      <c r="R80" s="486"/>
      <c r="S80" s="486"/>
      <c r="T80" s="486"/>
      <c r="U80" s="512"/>
      <c r="V80" s="512"/>
      <c r="W80" s="512"/>
      <c r="X80" s="512"/>
      <c r="Y80" s="512"/>
      <c r="Z80" s="512"/>
      <c r="AA80" s="512"/>
      <c r="AB80" s="512"/>
      <c r="AC80" s="512"/>
      <c r="AD80" s="512"/>
      <c r="AE80" s="512"/>
      <c r="AF80" s="512"/>
      <c r="AG80" s="512"/>
      <c r="AH80" s="512"/>
      <c r="AI80" s="512"/>
      <c r="AJ80" s="512"/>
      <c r="AK80" s="512"/>
      <c r="AL80" s="512"/>
      <c r="AM80" s="512"/>
      <c r="AN80" s="512"/>
      <c r="AO80" s="384"/>
      <c r="AP80" s="384"/>
      <c r="AQ80" s="512"/>
      <c r="AR80" s="384"/>
      <c r="AS80" s="384"/>
      <c r="AT80" s="384"/>
      <c r="AU80" s="512"/>
      <c r="AV80" s="512"/>
      <c r="AW80" s="512"/>
      <c r="AX80" s="512"/>
      <c r="AY80" s="486"/>
      <c r="AZ80" s="486"/>
      <c r="BA80" s="486"/>
    </row>
    <row r="81" spans="9:53" x14ac:dyDescent="0.2">
      <c r="I81" s="485"/>
      <c r="M81" s="485"/>
      <c r="Q81"/>
      <c r="R81" s="486"/>
      <c r="S81" s="486"/>
      <c r="T81" s="486"/>
      <c r="U81" s="486"/>
      <c r="V81" s="486"/>
      <c r="W81" s="486"/>
      <c r="X81" s="486"/>
      <c r="Y81" s="486"/>
      <c r="Z81" s="486"/>
      <c r="AA81" s="486"/>
      <c r="AB81" s="486"/>
      <c r="AC81" s="486"/>
      <c r="AD81" s="486"/>
      <c r="AE81" s="486"/>
      <c r="AF81" s="486"/>
      <c r="AG81" s="486"/>
      <c r="AH81" s="486"/>
      <c r="AI81" s="486"/>
      <c r="AJ81" s="486"/>
      <c r="AK81" s="30"/>
      <c r="AL81" s="486"/>
      <c r="AM81" s="486"/>
      <c r="AN81" s="486"/>
      <c r="AO81" s="369"/>
      <c r="AP81" s="369"/>
      <c r="AQ81" s="486"/>
      <c r="AR81" s="369"/>
      <c r="AS81" s="369"/>
      <c r="AT81" s="369"/>
      <c r="AU81" s="486"/>
      <c r="AV81" s="486"/>
      <c r="AW81" s="2"/>
      <c r="AX81" s="2"/>
      <c r="AY81" s="486"/>
      <c r="AZ81" s="486"/>
      <c r="BA81" s="486"/>
    </row>
    <row r="82" spans="9:53" x14ac:dyDescent="0.2">
      <c r="I82" s="485"/>
      <c r="M82" s="485"/>
      <c r="Q82"/>
      <c r="R82" s="486"/>
      <c r="S82" s="486"/>
      <c r="T82" s="486"/>
      <c r="U82" s="486"/>
      <c r="V82" s="486"/>
      <c r="W82" s="486"/>
      <c r="X82" s="486"/>
      <c r="Y82" s="486"/>
      <c r="Z82" s="486"/>
      <c r="AA82" s="486"/>
      <c r="AB82" s="486"/>
      <c r="AC82" s="486"/>
      <c r="AD82" s="486"/>
      <c r="AE82" s="486"/>
      <c r="AF82" s="486"/>
      <c r="AG82" s="486"/>
      <c r="AH82" s="486"/>
      <c r="AI82" s="486"/>
      <c r="AJ82" s="486"/>
      <c r="AK82" s="98"/>
      <c r="AL82" s="486"/>
      <c r="AM82" s="486"/>
      <c r="AN82" s="486"/>
      <c r="AO82" s="369"/>
      <c r="AP82" s="369"/>
      <c r="AQ82" s="486"/>
      <c r="AR82" s="369"/>
      <c r="AS82" s="369"/>
      <c r="AT82" s="369"/>
      <c r="AU82" s="486"/>
      <c r="AV82" s="486"/>
      <c r="AW82" s="2"/>
      <c r="AX82" s="2"/>
      <c r="AY82" s="486"/>
      <c r="AZ82" s="486"/>
      <c r="BA82" s="486"/>
    </row>
    <row r="83" spans="9:53" x14ac:dyDescent="0.2">
      <c r="I83" s="485"/>
      <c r="M83" s="485"/>
      <c r="Q83"/>
      <c r="R83" s="486"/>
      <c r="S83" s="486"/>
      <c r="T83" s="486"/>
      <c r="U83" s="486"/>
      <c r="V83" s="486"/>
      <c r="W83" s="486"/>
      <c r="X83" s="486"/>
      <c r="Y83" s="486"/>
      <c r="Z83" s="486"/>
      <c r="AA83" s="486"/>
      <c r="AB83" s="486"/>
      <c r="AC83" s="486"/>
      <c r="AD83" s="486"/>
      <c r="AE83" s="486"/>
      <c r="AF83" s="486"/>
      <c r="AG83" s="486"/>
      <c r="AH83" s="486"/>
      <c r="AI83" s="486"/>
      <c r="AJ83" s="486"/>
      <c r="AK83" s="2"/>
      <c r="AL83" s="486"/>
      <c r="AM83" s="486"/>
      <c r="AN83" s="486"/>
      <c r="AO83" s="369"/>
      <c r="AP83" s="369"/>
      <c r="AQ83" s="486"/>
      <c r="AR83" s="369"/>
      <c r="AS83" s="369"/>
      <c r="AT83" s="369"/>
      <c r="AU83" s="486"/>
      <c r="AV83" s="486"/>
      <c r="AW83" s="41"/>
      <c r="AX83" s="41"/>
      <c r="AY83" s="486"/>
      <c r="AZ83" s="486"/>
      <c r="BA83" s="486"/>
    </row>
    <row r="84" spans="9:53" x14ac:dyDescent="0.2">
      <c r="I84" s="485"/>
      <c r="M84" s="485"/>
      <c r="Q84"/>
      <c r="R84" s="486"/>
      <c r="S84" s="486"/>
      <c r="T84" s="486"/>
      <c r="U84" s="486"/>
      <c r="V84" s="486"/>
      <c r="W84" s="486"/>
      <c r="X84" s="486"/>
      <c r="Y84" s="486"/>
      <c r="Z84" s="486"/>
      <c r="AA84" s="486"/>
      <c r="AB84" s="486"/>
      <c r="AC84" s="486"/>
      <c r="AD84" s="486"/>
      <c r="AE84" s="486"/>
      <c r="AF84" s="486"/>
      <c r="AG84" s="486"/>
      <c r="AH84" s="486"/>
      <c r="AI84" s="486"/>
      <c r="AJ84" s="486"/>
      <c r="AK84" s="1"/>
      <c r="AL84" s="486"/>
      <c r="AM84" s="486"/>
      <c r="AN84" s="486"/>
      <c r="AO84" s="369"/>
      <c r="AP84" s="369"/>
      <c r="AQ84" s="486"/>
      <c r="AR84" s="369"/>
      <c r="AS84" s="369"/>
      <c r="AT84" s="369"/>
      <c r="AU84" s="486"/>
      <c r="AV84" s="486"/>
      <c r="AW84" s="41"/>
      <c r="AX84" s="41"/>
      <c r="AY84" s="486"/>
      <c r="AZ84" s="486"/>
      <c r="BA84" s="486"/>
    </row>
    <row r="85" spans="9:53" x14ac:dyDescent="0.2">
      <c r="I85" s="485"/>
      <c r="M85" s="485"/>
      <c r="Q85"/>
      <c r="R85" s="486"/>
      <c r="S85" s="486"/>
      <c r="T85" s="486"/>
      <c r="U85" s="486"/>
      <c r="V85" s="486"/>
      <c r="W85" s="486"/>
      <c r="X85" s="486"/>
      <c r="Y85" s="486"/>
      <c r="Z85" s="486"/>
      <c r="AA85" s="486"/>
      <c r="AB85" s="486"/>
      <c r="AC85" s="486"/>
      <c r="AD85" s="486"/>
      <c r="AE85" s="486"/>
      <c r="AF85" s="486"/>
      <c r="AG85" s="486"/>
      <c r="AH85" s="486"/>
      <c r="AI85" s="486"/>
      <c r="AJ85" s="486"/>
      <c r="AK85" s="29"/>
      <c r="AL85" s="486"/>
      <c r="AM85" s="486"/>
      <c r="AN85" s="486"/>
      <c r="AO85" s="369"/>
      <c r="AP85" s="369"/>
      <c r="AQ85" s="486"/>
      <c r="AR85" s="369"/>
      <c r="AS85" s="369"/>
      <c r="AT85" s="369"/>
      <c r="AU85" s="486"/>
      <c r="AV85" s="486"/>
      <c r="AW85" s="42"/>
      <c r="AX85" s="42"/>
      <c r="AY85" s="486"/>
      <c r="AZ85" s="486"/>
      <c r="BA85" s="486"/>
    </row>
    <row r="86" spans="9:53" x14ac:dyDescent="0.2">
      <c r="I86" s="485"/>
      <c r="M86" s="485"/>
      <c r="Q86"/>
      <c r="U86"/>
      <c r="Y86"/>
      <c r="AK86" s="40"/>
      <c r="AL86" s="3"/>
      <c r="AM86" s="3"/>
      <c r="AN86" s="3"/>
      <c r="AR86" s="369"/>
      <c r="AS86" s="369"/>
      <c r="AT86" s="369"/>
      <c r="AW86" s="43"/>
      <c r="AX86" s="43"/>
    </row>
    <row r="87" spans="9:53" x14ac:dyDescent="0.2">
      <c r="I87" s="485"/>
      <c r="M87" s="485"/>
      <c r="Q87"/>
      <c r="U87"/>
      <c r="Y87"/>
      <c r="AK87" s="40"/>
      <c r="AL87" s="3"/>
      <c r="AM87" s="3"/>
      <c r="AN87" s="3"/>
      <c r="AR87" s="369"/>
      <c r="AS87" s="369"/>
      <c r="AT87" s="369"/>
      <c r="AW87" s="32"/>
      <c r="AX87" s="32"/>
    </row>
    <row r="88" spans="9:53" x14ac:dyDescent="0.2">
      <c r="I88" s="485"/>
      <c r="M88" s="485"/>
      <c r="Q88"/>
      <c r="U88"/>
      <c r="Y88"/>
      <c r="AK88" s="35"/>
      <c r="AL88" s="3"/>
      <c r="AM88" s="3"/>
      <c r="AN88" s="3"/>
      <c r="AR88" s="369"/>
      <c r="AS88" s="369"/>
      <c r="AT88" s="369"/>
      <c r="AW88" s="32"/>
      <c r="AX88" s="32"/>
    </row>
    <row r="89" spans="9:53" x14ac:dyDescent="0.2">
      <c r="I89" s="485"/>
      <c r="M89" s="485"/>
      <c r="Q89"/>
      <c r="U89"/>
      <c r="Y89"/>
      <c r="AK89" s="32"/>
      <c r="AL89" s="3"/>
      <c r="AM89" s="3"/>
      <c r="AN89" s="3"/>
      <c r="AR89" s="369"/>
      <c r="AS89" s="369"/>
      <c r="AT89" s="369"/>
      <c r="AW89" s="33"/>
      <c r="AX89" s="33"/>
    </row>
    <row r="90" spans="9:53" x14ac:dyDescent="0.2">
      <c r="I90" s="485"/>
      <c r="M90" s="485"/>
      <c r="Q90"/>
      <c r="U90"/>
      <c r="Y90"/>
      <c r="AK90" s="33"/>
      <c r="AL90" s="3"/>
      <c r="AM90" s="3"/>
      <c r="AN90" s="3"/>
      <c r="AR90" s="369"/>
      <c r="AS90" s="369"/>
      <c r="AT90" s="369"/>
      <c r="AW90" s="33"/>
      <c r="AX90" s="33"/>
    </row>
    <row r="91" spans="9:53" x14ac:dyDescent="0.2">
      <c r="I91" s="485"/>
      <c r="M91" s="485"/>
      <c r="Q91"/>
      <c r="U91"/>
      <c r="Y91"/>
      <c r="AK91" s="33"/>
      <c r="AL91" s="3"/>
      <c r="AM91" s="3"/>
      <c r="AN91" s="3"/>
      <c r="AR91" s="369"/>
      <c r="AS91" s="369"/>
      <c r="AT91" s="369"/>
      <c r="AW91" s="3"/>
      <c r="AX91" s="3"/>
    </row>
    <row r="92" spans="9:53" x14ac:dyDescent="0.2">
      <c r="I92" s="485"/>
      <c r="M92" s="485"/>
      <c r="Q92"/>
      <c r="U92"/>
      <c r="Y92"/>
      <c r="AK92" s="3"/>
      <c r="AL92" s="3"/>
      <c r="AM92" s="3"/>
      <c r="AN92" s="3"/>
      <c r="AR92" s="369"/>
      <c r="AS92" s="369"/>
      <c r="AT92" s="369"/>
      <c r="AW92" s="3"/>
      <c r="AX92" s="3"/>
    </row>
    <row r="93" spans="9:53" x14ac:dyDescent="0.2">
      <c r="I93" s="485"/>
      <c r="M93" s="485"/>
      <c r="Q93"/>
      <c r="U93"/>
      <c r="Y93"/>
      <c r="AK93" s="3"/>
      <c r="AL93" s="3"/>
      <c r="AM93" s="3"/>
      <c r="AN93" s="3"/>
      <c r="AR93" s="369"/>
      <c r="AS93" s="369"/>
      <c r="AT93" s="369"/>
      <c r="AW93" s="3"/>
      <c r="AX93" s="3"/>
    </row>
    <row r="94" spans="9:53" x14ac:dyDescent="0.2">
      <c r="I94" s="485"/>
      <c r="M94" s="485"/>
      <c r="Q94"/>
      <c r="U94"/>
      <c r="Y94"/>
      <c r="AL94" s="3"/>
      <c r="AM94" s="3"/>
      <c r="AN94" s="3"/>
      <c r="AR94" s="369"/>
      <c r="AS94" s="369"/>
      <c r="AT94" s="369"/>
      <c r="AW94" s="3"/>
      <c r="AX94" s="3"/>
    </row>
    <row r="95" spans="9:53" x14ac:dyDescent="0.2">
      <c r="I95" s="485"/>
      <c r="M95" s="485"/>
      <c r="Q95"/>
      <c r="U95"/>
      <c r="Y95"/>
      <c r="AL95" s="3"/>
      <c r="AM95" s="3"/>
      <c r="AN95" s="3"/>
      <c r="AR95" s="369"/>
      <c r="AS95" s="369"/>
      <c r="AT95" s="369"/>
      <c r="AW95" s="3"/>
      <c r="AX95" s="3"/>
    </row>
    <row r="96" spans="9:53" x14ac:dyDescent="0.2">
      <c r="I96" s="485"/>
      <c r="M96" s="485"/>
      <c r="Q96"/>
      <c r="U96"/>
      <c r="Y96"/>
      <c r="AL96" s="3"/>
      <c r="AM96" s="3"/>
      <c r="AN96" s="3"/>
      <c r="AR96" s="369"/>
      <c r="AS96" s="369"/>
      <c r="AT96" s="369"/>
    </row>
  </sheetData>
  <mergeCells count="11">
    <mergeCell ref="A41:B41"/>
    <mergeCell ref="A35:B35"/>
    <mergeCell ref="C10:D10"/>
    <mergeCell ref="C55:D55"/>
    <mergeCell ref="C63:D63"/>
    <mergeCell ref="C56:D56"/>
    <mergeCell ref="AO11:AP11"/>
    <mergeCell ref="AO56:AP56"/>
    <mergeCell ref="AO63:AP63"/>
    <mergeCell ref="C62:D62"/>
    <mergeCell ref="C11:D11"/>
  </mergeCells>
  <phoneticPr fontId="16" type="noConversion"/>
  <conditionalFormatting sqref="AZ76:BA76 AO50 AU45:AX49 AU50:AV50 AC45:AK49 A45:A46 Y45:Y49 C50 A53:A54 Z45:AB50 A61 A69:A73 AL45:AN50 AP45:AT50 D45:E50 J45:X50">
    <cfRule type="cellIs" dxfId="11" priority="6" stopIfTrue="1" operator="equal">
      <formula>0</formula>
    </cfRule>
  </conditionalFormatting>
  <conditionalFormatting sqref="AW44">
    <cfRule type="cellIs" dxfId="10" priority="4" stopIfTrue="1" operator="equal">
      <formula>0</formula>
    </cfRule>
  </conditionalFormatting>
  <conditionalFormatting sqref="F45:I50">
    <cfRule type="cellIs" dxfId="9" priority="1" stopIfTrue="1" operator="equal">
      <formula>0</formula>
    </cfRule>
  </conditionalFormatting>
  <printOptions horizontalCentered="1"/>
  <pageMargins left="0.3" right="0.3" top="0.4" bottom="0.6" header="0" footer="0.3"/>
  <pageSetup scale="60" orientation="landscape" r:id="rId1"/>
  <headerFooter alignWithMargins="0">
    <oddFooter>&amp;L&amp;F&amp;CPage 9</oddFooter>
  </headerFooter>
  <ignoredErrors>
    <ignoredError sqref="AY17 AT21:AT3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X90"/>
  <sheetViews>
    <sheetView topLeftCell="A19" zoomScale="90" zoomScaleNormal="90" zoomScaleSheetLayoutView="90" zoomScalePageLayoutView="60" workbookViewId="0">
      <selection activeCell="L36" sqref="L36"/>
    </sheetView>
  </sheetViews>
  <sheetFormatPr defaultRowHeight="12.75" x14ac:dyDescent="0.2"/>
  <cols>
    <col min="1" max="1" width="2.7109375" style="1225" customWidth="1"/>
    <col min="2" max="2" width="50.5703125" style="1225" customWidth="1"/>
    <col min="3" max="3" width="9.5703125" style="1225" customWidth="1"/>
    <col min="4" max="4" width="9.7109375" style="1225" customWidth="1"/>
    <col min="5" max="5" width="1.5703125" style="1181" customWidth="1"/>
    <col min="6" max="8" width="8.42578125" style="1181" hidden="1" customWidth="1"/>
    <col min="9" max="9" width="11.85546875" style="1181" customWidth="1"/>
    <col min="10" max="11" width="8.42578125" style="1226" customWidth="1"/>
    <col min="12" max="13" width="9.42578125" style="1226" customWidth="1"/>
    <col min="14" max="17" width="8.42578125" style="1226" customWidth="1"/>
    <col min="18" max="29" width="8.42578125" style="1226" hidden="1" customWidth="1"/>
    <col min="30" max="38" width="8.7109375" style="1226" hidden="1" customWidth="1"/>
    <col min="39" max="40" width="9.7109375" style="1226" hidden="1" customWidth="1"/>
    <col min="41" max="49" width="9.7109375" style="1225" hidden="1" customWidth="1"/>
    <col min="50" max="50" width="1.5703125" style="1225" customWidth="1"/>
    <col min="51" max="51" width="6" style="1225" hidden="1" customWidth="1"/>
    <col min="52" max="52" width="7" style="1225" hidden="1" customWidth="1"/>
    <col min="53" max="53" width="6.7109375" style="1225" hidden="1" customWidth="1"/>
    <col min="54" max="54" width="7.28515625" style="1225" hidden="1" customWidth="1"/>
    <col min="55" max="55" width="1.5703125" style="1225" hidden="1" customWidth="1"/>
    <col min="56" max="56" width="10.42578125" style="1225" customWidth="1"/>
    <col min="57" max="60" width="8.7109375" style="1225" customWidth="1"/>
    <col min="61" max="65" width="8.7109375" style="1225" hidden="1" customWidth="1"/>
    <col min="66" max="66" width="8.140625" style="1225" hidden="1" customWidth="1"/>
    <col min="67" max="68" width="9.7109375" style="1225" hidden="1" customWidth="1"/>
    <col min="69" max="69" width="1.5703125" style="1225" customWidth="1"/>
    <col min="70" max="70" width="9.140625" style="1225"/>
    <col min="71" max="16384" width="9.140625" style="1180"/>
  </cols>
  <sheetData>
    <row r="4" spans="1:76" x14ac:dyDescent="0.2">
      <c r="M4" s="1008"/>
      <c r="Q4" s="1008"/>
      <c r="U4" s="1008"/>
      <c r="Y4" s="1008"/>
      <c r="Z4" s="1008"/>
      <c r="AA4" s="1008"/>
      <c r="AB4" s="1008"/>
    </row>
    <row r="5" spans="1:76" x14ac:dyDescent="0.2">
      <c r="A5" s="1226"/>
      <c r="B5" s="1226"/>
      <c r="C5" s="1226"/>
      <c r="D5" s="1226"/>
      <c r="AO5" s="1226"/>
      <c r="AP5" s="1226"/>
      <c r="AQ5" s="1226"/>
    </row>
    <row r="6" spans="1:76" ht="18" customHeight="1" x14ac:dyDescent="0.2">
      <c r="A6" s="2183" t="s">
        <v>54</v>
      </c>
      <c r="B6" s="1226"/>
      <c r="C6" s="1226"/>
      <c r="D6" s="1226"/>
      <c r="AO6" s="1226"/>
      <c r="AP6" s="1226"/>
      <c r="AQ6" s="1226"/>
    </row>
    <row r="7" spans="1:76" ht="9.75" customHeight="1" x14ac:dyDescent="0.2">
      <c r="A7" s="964"/>
      <c r="B7" s="964"/>
      <c r="C7" s="964"/>
      <c r="D7" s="964"/>
      <c r="E7" s="915"/>
      <c r="F7" s="915"/>
      <c r="G7" s="915"/>
      <c r="H7" s="915"/>
      <c r="I7" s="915"/>
      <c r="J7" s="964"/>
      <c r="K7" s="964"/>
      <c r="L7" s="999"/>
      <c r="M7" s="964"/>
      <c r="N7" s="964"/>
      <c r="O7" s="964"/>
      <c r="P7" s="999"/>
      <c r="Q7" s="964"/>
      <c r="R7" s="964"/>
      <c r="S7" s="964"/>
      <c r="T7" s="999"/>
      <c r="U7" s="964"/>
      <c r="V7" s="964"/>
      <c r="W7" s="964"/>
      <c r="X7" s="999"/>
      <c r="Y7" s="964"/>
      <c r="Z7" s="964"/>
      <c r="AA7" s="964"/>
      <c r="AB7" s="999"/>
      <c r="AC7" s="964"/>
      <c r="AD7" s="999"/>
      <c r="AE7" s="964"/>
      <c r="AF7" s="999"/>
      <c r="AG7" s="964"/>
      <c r="AH7" s="999"/>
      <c r="AI7" s="964"/>
      <c r="AJ7" s="999"/>
      <c r="AK7" s="964"/>
      <c r="AL7" s="999"/>
      <c r="AM7" s="964"/>
      <c r="AN7" s="964"/>
      <c r="AO7" s="1226"/>
      <c r="AP7" s="1226"/>
      <c r="AQ7" s="1226"/>
      <c r="BN7" s="1226"/>
      <c r="BO7" s="1226"/>
    </row>
    <row r="8" spans="1:76" x14ac:dyDescent="0.2">
      <c r="A8" s="968"/>
      <c r="B8" s="969"/>
      <c r="C8" s="2455" t="s">
        <v>456</v>
      </c>
      <c r="D8" s="2456"/>
      <c r="E8" s="919"/>
      <c r="F8" s="1184"/>
      <c r="G8" s="1184"/>
      <c r="H8" s="1184"/>
      <c r="I8" s="2280"/>
      <c r="J8" s="1263"/>
      <c r="K8" s="1263"/>
      <c r="M8" s="1261"/>
      <c r="N8" s="1263"/>
      <c r="O8" s="1263"/>
      <c r="Q8" s="1261"/>
      <c r="R8" s="1263"/>
      <c r="S8" s="1263"/>
      <c r="U8" s="1261"/>
      <c r="V8" s="1263"/>
      <c r="W8" s="1263"/>
      <c r="Y8" s="1261"/>
      <c r="Z8" s="1263"/>
      <c r="AA8" s="1263"/>
      <c r="AC8" s="1261"/>
      <c r="AE8" s="1263"/>
      <c r="AG8" s="1261"/>
      <c r="AI8" s="1263"/>
      <c r="AK8" s="1261"/>
      <c r="AL8" s="1263"/>
      <c r="AM8" s="1263"/>
      <c r="AN8" s="1263"/>
      <c r="AO8" s="1261"/>
      <c r="AP8" s="1263"/>
      <c r="AQ8" s="1263"/>
      <c r="AR8" s="1263"/>
      <c r="AS8" s="1263"/>
      <c r="AT8" s="1264"/>
      <c r="AU8" s="1261"/>
      <c r="AV8" s="1261"/>
      <c r="AW8" s="1261"/>
      <c r="AX8" s="1265"/>
      <c r="AY8" s="2455" t="s">
        <v>189</v>
      </c>
      <c r="AZ8" s="2505"/>
      <c r="BA8" s="2505"/>
      <c r="BB8" s="2506"/>
      <c r="BC8" s="1008"/>
      <c r="BD8" s="1009"/>
      <c r="BE8" s="1009"/>
      <c r="BF8" s="1009"/>
      <c r="BG8" s="1009"/>
      <c r="BH8" s="1009"/>
      <c r="BI8" s="1009"/>
      <c r="BJ8" s="1009"/>
      <c r="BK8" s="1009"/>
      <c r="BL8" s="1262"/>
      <c r="BM8" s="1264"/>
      <c r="BN8" s="1009"/>
      <c r="BO8" s="1009"/>
      <c r="BP8" s="1009"/>
      <c r="BQ8" s="1266"/>
    </row>
    <row r="9" spans="1:76" x14ac:dyDescent="0.2">
      <c r="A9" s="2184" t="s">
        <v>1</v>
      </c>
      <c r="B9" s="969"/>
      <c r="C9" s="2500" t="s">
        <v>39</v>
      </c>
      <c r="D9" s="2458"/>
      <c r="E9" s="924"/>
      <c r="F9" s="925" t="s">
        <v>452</v>
      </c>
      <c r="G9" s="925" t="s">
        <v>453</v>
      </c>
      <c r="H9" s="925" t="s">
        <v>454</v>
      </c>
      <c r="I9" s="2281" t="s">
        <v>455</v>
      </c>
      <c r="J9" s="1010" t="s">
        <v>399</v>
      </c>
      <c r="K9" s="1010" t="s">
        <v>398</v>
      </c>
      <c r="L9" s="1010" t="s">
        <v>397</v>
      </c>
      <c r="M9" s="1011" t="s">
        <v>395</v>
      </c>
      <c r="N9" s="1010" t="s">
        <v>373</v>
      </c>
      <c r="O9" s="1010" t="s">
        <v>374</v>
      </c>
      <c r="P9" s="1010" t="s">
        <v>375</v>
      </c>
      <c r="Q9" s="1011" t="s">
        <v>376</v>
      </c>
      <c r="R9" s="1010" t="s">
        <v>330</v>
      </c>
      <c r="S9" s="1010" t="s">
        <v>329</v>
      </c>
      <c r="T9" s="1010" t="s">
        <v>328</v>
      </c>
      <c r="U9" s="1011" t="s">
        <v>326</v>
      </c>
      <c r="V9" s="1010" t="s">
        <v>282</v>
      </c>
      <c r="W9" s="1010" t="s">
        <v>283</v>
      </c>
      <c r="X9" s="1010" t="s">
        <v>284</v>
      </c>
      <c r="Y9" s="1011" t="s">
        <v>285</v>
      </c>
      <c r="Z9" s="1010" t="s">
        <v>220</v>
      </c>
      <c r="AA9" s="1010" t="s">
        <v>221</v>
      </c>
      <c r="AB9" s="1010" t="s">
        <v>222</v>
      </c>
      <c r="AC9" s="1011" t="s">
        <v>219</v>
      </c>
      <c r="AD9" s="1010" t="s">
        <v>185</v>
      </c>
      <c r="AE9" s="1010" t="s">
        <v>186</v>
      </c>
      <c r="AF9" s="1010" t="s">
        <v>187</v>
      </c>
      <c r="AG9" s="1011" t="s">
        <v>188</v>
      </c>
      <c r="AH9" s="1010" t="s">
        <v>118</v>
      </c>
      <c r="AI9" s="1010" t="s">
        <v>117</v>
      </c>
      <c r="AJ9" s="1010" t="s">
        <v>116</v>
      </c>
      <c r="AK9" s="1011" t="s">
        <v>115</v>
      </c>
      <c r="AL9" s="1010" t="s">
        <v>83</v>
      </c>
      <c r="AM9" s="1010" t="s">
        <v>84</v>
      </c>
      <c r="AN9" s="1010" t="s">
        <v>85</v>
      </c>
      <c r="AO9" s="1011" t="s">
        <v>30</v>
      </c>
      <c r="AP9" s="1008" t="s">
        <v>31</v>
      </c>
      <c r="AQ9" s="1008" t="s">
        <v>32</v>
      </c>
      <c r="AR9" s="1008" t="s">
        <v>33</v>
      </c>
      <c r="AS9" s="1008" t="s">
        <v>34</v>
      </c>
      <c r="AT9" s="1014" t="s">
        <v>35</v>
      </c>
      <c r="AU9" s="1271" t="s">
        <v>36</v>
      </c>
      <c r="AV9" s="1271" t="s">
        <v>37</v>
      </c>
      <c r="AW9" s="1271" t="s">
        <v>38</v>
      </c>
      <c r="AX9" s="1014"/>
      <c r="AY9" s="1012" t="s">
        <v>43</v>
      </c>
      <c r="AZ9" s="1010" t="s">
        <v>40</v>
      </c>
      <c r="BA9" s="2502" t="s">
        <v>39</v>
      </c>
      <c r="BB9" s="2458"/>
      <c r="BC9" s="1015"/>
      <c r="BD9" s="2014" t="s">
        <v>449</v>
      </c>
      <c r="BE9" s="2014" t="s">
        <v>385</v>
      </c>
      <c r="BF9" s="2014" t="s">
        <v>332</v>
      </c>
      <c r="BG9" s="2014" t="s">
        <v>287</v>
      </c>
      <c r="BH9" s="2014" t="s">
        <v>224</v>
      </c>
      <c r="BI9" s="2014" t="s">
        <v>120</v>
      </c>
      <c r="BJ9" s="2014" t="s">
        <v>119</v>
      </c>
      <c r="BK9" s="2014" t="s">
        <v>43</v>
      </c>
      <c r="BL9" s="2014" t="s">
        <v>40</v>
      </c>
      <c r="BM9" s="1014" t="s">
        <v>41</v>
      </c>
      <c r="BN9" s="1013" t="s">
        <v>138</v>
      </c>
      <c r="BO9" s="1013" t="s">
        <v>139</v>
      </c>
      <c r="BP9" s="1013" t="s">
        <v>140</v>
      </c>
      <c r="BQ9" s="1266"/>
      <c r="BR9" s="1226"/>
      <c r="BS9" s="1181"/>
      <c r="BT9" s="1181"/>
      <c r="BU9" s="1181"/>
      <c r="BV9" s="1181"/>
      <c r="BW9" s="1181"/>
      <c r="BX9" s="1181"/>
    </row>
    <row r="10" spans="1:76" ht="12.75" customHeight="1" x14ac:dyDescent="0.2">
      <c r="A10" s="970"/>
      <c r="B10" s="971"/>
      <c r="C10" s="1526"/>
      <c r="D10" s="1418"/>
      <c r="E10" s="1187"/>
      <c r="F10" s="1188"/>
      <c r="G10" s="1188"/>
      <c r="H10" s="1188"/>
      <c r="I10" s="1183"/>
      <c r="J10" s="1251"/>
      <c r="K10" s="1251"/>
      <c r="L10" s="1251"/>
      <c r="M10" s="1228"/>
      <c r="N10" s="1251"/>
      <c r="O10" s="1251"/>
      <c r="P10" s="1251"/>
      <c r="Q10" s="1228"/>
      <c r="R10" s="1251"/>
      <c r="S10" s="1251"/>
      <c r="T10" s="1251"/>
      <c r="U10" s="1228"/>
      <c r="V10" s="1251"/>
      <c r="W10" s="1251"/>
      <c r="X10" s="1251"/>
      <c r="Y10" s="1228"/>
      <c r="Z10" s="1251"/>
      <c r="AA10" s="1251"/>
      <c r="AB10" s="1251"/>
      <c r="AC10" s="1228"/>
      <c r="AD10" s="1251"/>
      <c r="AE10" s="1251"/>
      <c r="AF10" s="1251"/>
      <c r="AG10" s="1228"/>
      <c r="AH10" s="1251"/>
      <c r="AI10" s="1251"/>
      <c r="AJ10" s="1251"/>
      <c r="AK10" s="1228"/>
      <c r="AL10" s="1251"/>
      <c r="AM10" s="1251"/>
      <c r="AN10" s="1251"/>
      <c r="AO10" s="1228"/>
      <c r="AP10" s="2191"/>
      <c r="AQ10" s="2191"/>
      <c r="AR10" s="2191"/>
      <c r="AS10" s="1418"/>
      <c r="AT10" s="1527"/>
      <c r="AU10" s="1418"/>
      <c r="AV10" s="1418"/>
      <c r="AW10" s="1418"/>
      <c r="AX10" s="1274"/>
      <c r="AY10" s="1230"/>
      <c r="AZ10" s="1251"/>
      <c r="BA10" s="1251"/>
      <c r="BB10" s="1228"/>
      <c r="BC10" s="1251"/>
      <c r="BD10" s="1527"/>
      <c r="BE10" s="1527"/>
      <c r="BF10" s="1527"/>
      <c r="BG10" s="1527"/>
      <c r="BH10" s="1527"/>
      <c r="BI10" s="1527"/>
      <c r="BJ10" s="1527"/>
      <c r="BK10" s="1527"/>
      <c r="BL10" s="1527"/>
      <c r="BM10" s="1527"/>
      <c r="BN10" s="1016"/>
      <c r="BO10" s="1016"/>
      <c r="BP10" s="1016"/>
      <c r="BQ10" s="1266"/>
      <c r="BR10" s="1226"/>
      <c r="BS10" s="1181"/>
      <c r="BT10" s="1181"/>
      <c r="BU10" s="1181"/>
      <c r="BV10" s="1181"/>
    </row>
    <row r="11" spans="1:76" ht="12.75" customHeight="1" x14ac:dyDescent="0.2">
      <c r="A11" s="2185" t="s">
        <v>107</v>
      </c>
      <c r="B11" s="2185"/>
      <c r="C11" s="1921"/>
      <c r="D11" s="1056"/>
      <c r="E11" s="937"/>
      <c r="F11" s="926"/>
      <c r="G11" s="926"/>
      <c r="H11" s="926"/>
      <c r="I11" s="2303"/>
      <c r="J11" s="975"/>
      <c r="K11" s="975"/>
      <c r="L11" s="975"/>
      <c r="M11" s="1477"/>
      <c r="N11" s="975"/>
      <c r="O11" s="975"/>
      <c r="P11" s="975"/>
      <c r="Q11" s="1477"/>
      <c r="R11" s="975"/>
      <c r="S11" s="975"/>
      <c r="T11" s="975"/>
      <c r="U11" s="1477"/>
      <c r="V11" s="975"/>
      <c r="W11" s="975"/>
      <c r="X11" s="975"/>
      <c r="Y11" s="1477"/>
      <c r="Z11" s="975"/>
      <c r="AA11" s="975"/>
      <c r="AB11" s="975"/>
      <c r="AC11" s="1477"/>
      <c r="AD11" s="975"/>
      <c r="AE11" s="975"/>
      <c r="AF11" s="975"/>
      <c r="AG11" s="1477"/>
      <c r="AH11" s="975"/>
      <c r="AI11" s="975"/>
      <c r="AJ11" s="975"/>
      <c r="AK11" s="1477"/>
      <c r="AL11" s="975"/>
      <c r="AM11" s="975"/>
      <c r="AN11" s="975"/>
      <c r="AO11" s="1477"/>
      <c r="AP11" s="1478"/>
      <c r="AQ11" s="1478"/>
      <c r="AR11" s="1478"/>
      <c r="AS11" s="1477"/>
      <c r="AT11" s="1447"/>
      <c r="AU11" s="1477"/>
      <c r="AV11" s="1477"/>
      <c r="AW11" s="1477"/>
      <c r="AX11" s="1509"/>
      <c r="AY11" s="1521"/>
      <c r="AZ11" s="1517"/>
      <c r="BA11" s="1028"/>
      <c r="BB11" s="1056"/>
      <c r="BC11" s="1517"/>
      <c r="BD11" s="1447"/>
      <c r="BE11" s="1447"/>
      <c r="BF11" s="1447"/>
      <c r="BG11" s="1447"/>
      <c r="BH11" s="1447"/>
      <c r="BI11" s="1447"/>
      <c r="BJ11" s="1447"/>
      <c r="BK11" s="1447"/>
      <c r="BL11" s="1447"/>
      <c r="BM11" s="1447"/>
      <c r="BN11" s="1054"/>
      <c r="BO11" s="1054"/>
      <c r="BP11" s="1054"/>
      <c r="BQ11" s="1226"/>
      <c r="BR11" s="1226"/>
      <c r="BS11" s="1181"/>
      <c r="BT11" s="1181"/>
      <c r="BU11" s="1181"/>
      <c r="BV11" s="1181"/>
    </row>
    <row r="12" spans="1:76" ht="12.75" customHeight="1" x14ac:dyDescent="0.2">
      <c r="A12" s="1244"/>
      <c r="B12" s="1244" t="s">
        <v>183</v>
      </c>
      <c r="C12" s="1476">
        <v>-16</v>
      </c>
      <c r="D12" s="1056">
        <v>-8.2901554404145081E-2</v>
      </c>
      <c r="E12" s="937"/>
      <c r="F12" s="1190"/>
      <c r="G12" s="1190"/>
      <c r="H12" s="1190"/>
      <c r="I12" s="2303">
        <v>177</v>
      </c>
      <c r="J12" s="1275">
        <v>180</v>
      </c>
      <c r="K12" s="1275">
        <v>188</v>
      </c>
      <c r="L12" s="1275">
        <v>190</v>
      </c>
      <c r="M12" s="1477">
        <v>193</v>
      </c>
      <c r="N12" s="1275">
        <v>201</v>
      </c>
      <c r="O12" s="1275">
        <v>206</v>
      </c>
      <c r="P12" s="1275">
        <v>208</v>
      </c>
      <c r="Q12" s="1477">
        <v>215</v>
      </c>
      <c r="R12" s="1275">
        <v>215</v>
      </c>
      <c r="S12" s="1275">
        <v>214</v>
      </c>
      <c r="T12" s="1275">
        <v>215</v>
      </c>
      <c r="U12" s="1477">
        <v>221</v>
      </c>
      <c r="V12" s="1275">
        <v>222</v>
      </c>
      <c r="W12" s="1275">
        <v>224</v>
      </c>
      <c r="X12" s="1275">
        <v>225</v>
      </c>
      <c r="Y12" s="1477">
        <v>239</v>
      </c>
      <c r="Z12" s="1275">
        <v>247</v>
      </c>
      <c r="AA12" s="1275">
        <v>262</v>
      </c>
      <c r="AB12" s="1275">
        <v>266</v>
      </c>
      <c r="AC12" s="1477">
        <v>265</v>
      </c>
      <c r="AD12" s="1275">
        <v>268</v>
      </c>
      <c r="AE12" s="1275">
        <v>276</v>
      </c>
      <c r="AF12" s="1275">
        <v>276</v>
      </c>
      <c r="AG12" s="1477">
        <v>273</v>
      </c>
      <c r="AH12" s="1275">
        <v>203</v>
      </c>
      <c r="AI12" s="1275">
        <v>204</v>
      </c>
      <c r="AJ12" s="1275">
        <v>200</v>
      </c>
      <c r="AK12" s="1477">
        <v>204</v>
      </c>
      <c r="AL12" s="1275">
        <v>209</v>
      </c>
      <c r="AM12" s="1275">
        <v>211</v>
      </c>
      <c r="AN12" s="1275">
        <v>248</v>
      </c>
      <c r="AO12" s="1477">
        <v>251</v>
      </c>
      <c r="AP12" s="1280">
        <v>253</v>
      </c>
      <c r="AQ12" s="1280">
        <v>254</v>
      </c>
      <c r="AR12" s="1280">
        <v>264</v>
      </c>
      <c r="AS12" s="1528">
        <v>260</v>
      </c>
      <c r="AT12" s="1327">
        <v>246</v>
      </c>
      <c r="AU12" s="1528">
        <v>237</v>
      </c>
      <c r="AV12" s="1528">
        <v>241</v>
      </c>
      <c r="AW12" s="1528">
        <v>239</v>
      </c>
      <c r="AX12" s="1460"/>
      <c r="AY12" s="2022">
        <v>209</v>
      </c>
      <c r="AZ12" s="2030">
        <v>253</v>
      </c>
      <c r="BA12" s="1478">
        <v>-44</v>
      </c>
      <c r="BB12" s="1056">
        <v>-0.17391304347826086</v>
      </c>
      <c r="BC12" s="2030"/>
      <c r="BD12" s="1447">
        <v>180</v>
      </c>
      <c r="BE12" s="1447">
        <v>201</v>
      </c>
      <c r="BF12" s="1447">
        <v>215</v>
      </c>
      <c r="BG12" s="1447">
        <v>222</v>
      </c>
      <c r="BH12" s="1447">
        <v>247</v>
      </c>
      <c r="BI12" s="1447">
        <v>268</v>
      </c>
      <c r="BJ12" s="1447">
        <v>203</v>
      </c>
      <c r="BK12" s="1447">
        <v>209</v>
      </c>
      <c r="BL12" s="1327">
        <v>253</v>
      </c>
      <c r="BM12" s="1327">
        <v>246</v>
      </c>
      <c r="BN12" s="1282">
        <v>233</v>
      </c>
      <c r="BO12" s="1282">
        <v>209</v>
      </c>
      <c r="BP12" s="1282">
        <v>185</v>
      </c>
      <c r="BQ12" s="1235"/>
      <c r="BV12" s="1181"/>
    </row>
    <row r="13" spans="1:76" ht="12.75" customHeight="1" x14ac:dyDescent="0.2">
      <c r="A13" s="1244"/>
      <c r="B13" s="1244" t="s">
        <v>319</v>
      </c>
      <c r="C13" s="1476">
        <v>-35</v>
      </c>
      <c r="D13" s="1056">
        <v>-9.2838196286472149E-2</v>
      </c>
      <c r="E13" s="937"/>
      <c r="F13" s="1190"/>
      <c r="G13" s="1190"/>
      <c r="H13" s="1190"/>
      <c r="I13" s="2303">
        <v>342</v>
      </c>
      <c r="J13" s="1275">
        <v>354</v>
      </c>
      <c r="K13" s="1275">
        <v>361</v>
      </c>
      <c r="L13" s="1275">
        <v>379</v>
      </c>
      <c r="M13" s="1477">
        <v>377</v>
      </c>
      <c r="N13" s="1275">
        <v>400</v>
      </c>
      <c r="O13" s="1275">
        <v>405</v>
      </c>
      <c r="P13" s="1275">
        <v>412</v>
      </c>
      <c r="Q13" s="1477">
        <v>407</v>
      </c>
      <c r="R13" s="1275">
        <v>420</v>
      </c>
      <c r="S13" s="1275">
        <v>425</v>
      </c>
      <c r="T13" s="1275">
        <v>430</v>
      </c>
      <c r="U13" s="1477">
        <v>448</v>
      </c>
      <c r="V13" s="1275">
        <v>461</v>
      </c>
      <c r="W13" s="1275">
        <v>493</v>
      </c>
      <c r="X13" s="1275">
        <v>617</v>
      </c>
      <c r="Y13" s="1477">
        <v>662</v>
      </c>
      <c r="Z13" s="1275">
        <v>684</v>
      </c>
      <c r="AA13" s="1275">
        <v>699</v>
      </c>
      <c r="AB13" s="1275">
        <v>686</v>
      </c>
      <c r="AC13" s="1477">
        <v>666</v>
      </c>
      <c r="AD13" s="1275">
        <v>684</v>
      </c>
      <c r="AE13" s="1275">
        <v>671</v>
      </c>
      <c r="AF13" s="1275">
        <v>665</v>
      </c>
      <c r="AG13" s="1477">
        <v>689</v>
      </c>
      <c r="AH13" s="1275">
        <v>680</v>
      </c>
      <c r="AI13" s="1275">
        <v>707</v>
      </c>
      <c r="AJ13" s="1275">
        <v>698</v>
      </c>
      <c r="AK13" s="1477">
        <v>688</v>
      </c>
      <c r="AL13" s="1275">
        <v>700</v>
      </c>
      <c r="AM13" s="1275">
        <v>725</v>
      </c>
      <c r="AN13" s="1275">
        <v>744</v>
      </c>
      <c r="AO13" s="1477">
        <v>760</v>
      </c>
      <c r="AP13" s="1280">
        <v>762</v>
      </c>
      <c r="AQ13" s="1280">
        <v>772</v>
      </c>
      <c r="AR13" s="1280">
        <v>784</v>
      </c>
      <c r="AS13" s="1528">
        <v>757</v>
      </c>
      <c r="AT13" s="1327">
        <v>728</v>
      </c>
      <c r="AU13" s="1528">
        <v>725</v>
      </c>
      <c r="AV13" s="1528">
        <v>719</v>
      </c>
      <c r="AW13" s="1528">
        <v>710</v>
      </c>
      <c r="AX13" s="1460"/>
      <c r="AY13" s="2022">
        <v>700</v>
      </c>
      <c r="AZ13" s="2030">
        <v>762</v>
      </c>
      <c r="BA13" s="1478">
        <v>-62</v>
      </c>
      <c r="BB13" s="1056">
        <v>-8.1364829396325458E-2</v>
      </c>
      <c r="BC13" s="2030"/>
      <c r="BD13" s="1447">
        <v>354</v>
      </c>
      <c r="BE13" s="1447">
        <v>400</v>
      </c>
      <c r="BF13" s="1447">
        <v>420</v>
      </c>
      <c r="BG13" s="1447">
        <v>461</v>
      </c>
      <c r="BH13" s="1447">
        <v>684</v>
      </c>
      <c r="BI13" s="1447">
        <v>684</v>
      </c>
      <c r="BJ13" s="1447">
        <v>680</v>
      </c>
      <c r="BK13" s="1447">
        <v>700</v>
      </c>
      <c r="BL13" s="1327">
        <v>762</v>
      </c>
      <c r="BM13" s="1327">
        <v>728</v>
      </c>
      <c r="BN13" s="1282">
        <v>689</v>
      </c>
      <c r="BO13" s="1282">
        <v>657</v>
      </c>
      <c r="BP13" s="1282">
        <v>623</v>
      </c>
      <c r="BQ13" s="1235"/>
      <c r="BV13" s="1181"/>
    </row>
    <row r="14" spans="1:76" ht="12.75" customHeight="1" x14ac:dyDescent="0.2">
      <c r="A14" s="1244"/>
      <c r="B14" s="1244" t="s">
        <v>108</v>
      </c>
      <c r="C14" s="1476">
        <v>-42</v>
      </c>
      <c r="D14" s="1056">
        <v>-0.13166144200626959</v>
      </c>
      <c r="E14" s="937"/>
      <c r="F14" s="1190"/>
      <c r="G14" s="1190"/>
      <c r="H14" s="1190"/>
      <c r="I14" s="2303">
        <v>277</v>
      </c>
      <c r="J14" s="1275">
        <v>288</v>
      </c>
      <c r="K14" s="1275">
        <v>326</v>
      </c>
      <c r="L14" s="1275">
        <v>317</v>
      </c>
      <c r="M14" s="1477">
        <v>319</v>
      </c>
      <c r="N14" s="1275">
        <v>324</v>
      </c>
      <c r="O14" s="1275">
        <v>316</v>
      </c>
      <c r="P14" s="1275">
        <v>315</v>
      </c>
      <c r="Q14" s="1477">
        <v>320</v>
      </c>
      <c r="R14" s="1275">
        <v>316</v>
      </c>
      <c r="S14" s="1275">
        <v>319</v>
      </c>
      <c r="T14" s="1275">
        <v>320</v>
      </c>
      <c r="U14" s="1477">
        <v>323</v>
      </c>
      <c r="V14" s="1275">
        <v>332</v>
      </c>
      <c r="W14" s="1275">
        <v>332</v>
      </c>
      <c r="X14" s="1275">
        <v>343</v>
      </c>
      <c r="Y14" s="1477">
        <v>376</v>
      </c>
      <c r="Z14" s="1275">
        <v>378</v>
      </c>
      <c r="AA14" s="1275">
        <v>386</v>
      </c>
      <c r="AB14" s="1275">
        <v>384</v>
      </c>
      <c r="AC14" s="1477">
        <v>382</v>
      </c>
      <c r="AD14" s="1275">
        <v>373</v>
      </c>
      <c r="AE14" s="1275">
        <v>365</v>
      </c>
      <c r="AF14" s="1275">
        <v>369</v>
      </c>
      <c r="AG14" s="1477">
        <v>371</v>
      </c>
      <c r="AH14" s="1275">
        <v>364</v>
      </c>
      <c r="AI14" s="1275">
        <v>360</v>
      </c>
      <c r="AJ14" s="1275">
        <v>359</v>
      </c>
      <c r="AK14" s="1477">
        <v>352</v>
      </c>
      <c r="AL14" s="1275">
        <v>356</v>
      </c>
      <c r="AM14" s="1275">
        <v>365</v>
      </c>
      <c r="AN14" s="1275">
        <v>393</v>
      </c>
      <c r="AO14" s="1477">
        <v>393</v>
      </c>
      <c r="AP14" s="1280">
        <v>380</v>
      </c>
      <c r="AQ14" s="1280">
        <v>373</v>
      </c>
      <c r="AR14" s="1280">
        <v>370</v>
      </c>
      <c r="AS14" s="1528">
        <v>366</v>
      </c>
      <c r="AT14" s="1327">
        <v>360</v>
      </c>
      <c r="AU14" s="1528">
        <v>348</v>
      </c>
      <c r="AV14" s="1528">
        <v>349</v>
      </c>
      <c r="AW14" s="1528">
        <v>343</v>
      </c>
      <c r="AX14" s="1460"/>
      <c r="AY14" s="2022">
        <v>356</v>
      </c>
      <c r="AZ14" s="2030">
        <v>380</v>
      </c>
      <c r="BA14" s="1478">
        <v>-24</v>
      </c>
      <c r="BB14" s="1056">
        <v>-6.3157894736842107E-2</v>
      </c>
      <c r="BC14" s="2030"/>
      <c r="BD14" s="1447">
        <v>288</v>
      </c>
      <c r="BE14" s="1447">
        <v>324</v>
      </c>
      <c r="BF14" s="1447">
        <v>316</v>
      </c>
      <c r="BG14" s="1447">
        <v>332</v>
      </c>
      <c r="BH14" s="1447">
        <v>378</v>
      </c>
      <c r="BI14" s="1447">
        <v>373</v>
      </c>
      <c r="BJ14" s="1447">
        <v>364</v>
      </c>
      <c r="BK14" s="1447">
        <v>356</v>
      </c>
      <c r="BL14" s="1327">
        <v>380</v>
      </c>
      <c r="BM14" s="1327">
        <v>360</v>
      </c>
      <c r="BN14" s="1282">
        <v>335</v>
      </c>
      <c r="BO14" s="1282">
        <v>324</v>
      </c>
      <c r="BP14" s="1282">
        <v>296</v>
      </c>
      <c r="BQ14" s="1235"/>
      <c r="BV14" s="1181"/>
    </row>
    <row r="15" spans="1:76" ht="12.75" customHeight="1" x14ac:dyDescent="0.2">
      <c r="A15" s="1244"/>
      <c r="B15" s="1244" t="s">
        <v>87</v>
      </c>
      <c r="C15" s="1476">
        <v>-93</v>
      </c>
      <c r="D15" s="1056">
        <v>-0.10461192350956131</v>
      </c>
      <c r="E15" s="937"/>
      <c r="F15" s="1190">
        <v>0</v>
      </c>
      <c r="G15" s="1190">
        <v>0</v>
      </c>
      <c r="H15" s="1190">
        <v>0</v>
      </c>
      <c r="I15" s="2303">
        <v>796</v>
      </c>
      <c r="J15" s="1275">
        <v>822</v>
      </c>
      <c r="K15" s="1275">
        <v>875</v>
      </c>
      <c r="L15" s="1275">
        <v>886</v>
      </c>
      <c r="M15" s="1477">
        <v>889</v>
      </c>
      <c r="N15" s="1275">
        <v>925</v>
      </c>
      <c r="O15" s="1275">
        <v>927</v>
      </c>
      <c r="P15" s="1275">
        <v>935</v>
      </c>
      <c r="Q15" s="1477">
        <v>942</v>
      </c>
      <c r="R15" s="1275">
        <v>951</v>
      </c>
      <c r="S15" s="1275">
        <v>958</v>
      </c>
      <c r="T15" s="1275">
        <v>965</v>
      </c>
      <c r="U15" s="1477">
        <v>992</v>
      </c>
      <c r="V15" s="1275">
        <v>1015</v>
      </c>
      <c r="W15" s="1275">
        <v>1049</v>
      </c>
      <c r="X15" s="1275">
        <v>1185</v>
      </c>
      <c r="Y15" s="1477">
        <v>1277</v>
      </c>
      <c r="Z15" s="1275">
        <v>1309</v>
      </c>
      <c r="AA15" s="1275">
        <v>1347</v>
      </c>
      <c r="AB15" s="1275">
        <v>1336</v>
      </c>
      <c r="AC15" s="1477">
        <v>1313</v>
      </c>
      <c r="AD15" s="1275">
        <v>1325</v>
      </c>
      <c r="AE15" s="1275">
        <v>1312</v>
      </c>
      <c r="AF15" s="1275">
        <v>1310</v>
      </c>
      <c r="AG15" s="1477">
        <v>1333</v>
      </c>
      <c r="AH15" s="1275">
        <v>1247</v>
      </c>
      <c r="AI15" s="1275">
        <v>1271</v>
      </c>
      <c r="AJ15" s="1275">
        <v>1257</v>
      </c>
      <c r="AK15" s="1477">
        <v>1244</v>
      </c>
      <c r="AL15" s="1275">
        <v>1265</v>
      </c>
      <c r="AM15" s="1275">
        <v>1301</v>
      </c>
      <c r="AN15" s="1275">
        <v>1385</v>
      </c>
      <c r="AO15" s="1477">
        <v>1404</v>
      </c>
      <c r="AP15" s="1280">
        <v>1395</v>
      </c>
      <c r="AQ15" s="1280">
        <v>1399</v>
      </c>
      <c r="AR15" s="1280">
        <v>1418</v>
      </c>
      <c r="AS15" s="1528">
        <v>1383</v>
      </c>
      <c r="AT15" s="1327">
        <v>1334</v>
      </c>
      <c r="AU15" s="1528">
        <v>1310</v>
      </c>
      <c r="AV15" s="1528">
        <v>1309</v>
      </c>
      <c r="AW15" s="1528">
        <v>1292</v>
      </c>
      <c r="AX15" s="1460"/>
      <c r="AY15" s="2022">
        <v>1265</v>
      </c>
      <c r="AZ15" s="2030">
        <v>1395</v>
      </c>
      <c r="BA15" s="1478">
        <v>-130</v>
      </c>
      <c r="BB15" s="1056">
        <v>-9.3189964157706098E-2</v>
      </c>
      <c r="BC15" s="2030"/>
      <c r="BD15" s="1447">
        <v>822</v>
      </c>
      <c r="BE15" s="1447">
        <v>925</v>
      </c>
      <c r="BF15" s="1447">
        <v>951</v>
      </c>
      <c r="BG15" s="1447">
        <v>1015</v>
      </c>
      <c r="BH15" s="1447">
        <v>1309</v>
      </c>
      <c r="BI15" s="1447">
        <v>1325</v>
      </c>
      <c r="BJ15" s="1447">
        <v>1247</v>
      </c>
      <c r="BK15" s="1447">
        <v>1265</v>
      </c>
      <c r="BL15" s="1327">
        <v>1395</v>
      </c>
      <c r="BM15" s="1327">
        <v>1334</v>
      </c>
      <c r="BN15" s="1282">
        <v>1257</v>
      </c>
      <c r="BO15" s="1282">
        <v>1190</v>
      </c>
      <c r="BP15" s="1282">
        <v>1104</v>
      </c>
      <c r="BQ15" s="1235"/>
      <c r="BV15" s="1181"/>
    </row>
    <row r="16" spans="1:76" ht="12.75" customHeight="1" x14ac:dyDescent="0.2">
      <c r="A16" s="1244"/>
      <c r="B16" s="1244"/>
      <c r="C16" s="1476"/>
      <c r="D16" s="1056"/>
      <c r="E16" s="937"/>
      <c r="F16" s="1190"/>
      <c r="G16" s="1190"/>
      <c r="H16" s="1190"/>
      <c r="I16" s="2303"/>
      <c r="J16" s="1275"/>
      <c r="K16" s="1275"/>
      <c r="L16" s="1275"/>
      <c r="M16" s="1477"/>
      <c r="N16" s="1275"/>
      <c r="O16" s="1275"/>
      <c r="P16" s="1275"/>
      <c r="Q16" s="1477"/>
      <c r="R16" s="1275"/>
      <c r="S16" s="1275"/>
      <c r="T16" s="1275"/>
      <c r="U16" s="1477"/>
      <c r="V16" s="1275"/>
      <c r="W16" s="1275"/>
      <c r="X16" s="1275"/>
      <c r="Y16" s="1477"/>
      <c r="Z16" s="1275"/>
      <c r="AA16" s="1275"/>
      <c r="AB16" s="1275"/>
      <c r="AC16" s="1477"/>
      <c r="AD16" s="1275"/>
      <c r="AE16" s="1275"/>
      <c r="AF16" s="1275"/>
      <c r="AG16" s="1477"/>
      <c r="AH16" s="1275"/>
      <c r="AI16" s="1275"/>
      <c r="AJ16" s="1275"/>
      <c r="AK16" s="1477"/>
      <c r="AL16" s="1275"/>
      <c r="AM16" s="1275"/>
      <c r="AN16" s="1275"/>
      <c r="AO16" s="1477"/>
      <c r="AP16" s="1280"/>
      <c r="AQ16" s="1280"/>
      <c r="AR16" s="1280"/>
      <c r="AS16" s="1528"/>
      <c r="AT16" s="1327"/>
      <c r="AU16" s="1528"/>
      <c r="AV16" s="1528"/>
      <c r="AW16" s="1528"/>
      <c r="AX16" s="1460"/>
      <c r="AY16" s="2022"/>
      <c r="AZ16" s="2030"/>
      <c r="BA16" s="1478"/>
      <c r="BB16" s="1056"/>
      <c r="BC16" s="2030"/>
      <c r="BD16" s="1447"/>
      <c r="BE16" s="1447"/>
      <c r="BF16" s="1447"/>
      <c r="BG16" s="1447"/>
      <c r="BH16" s="1447"/>
      <c r="BI16" s="1447"/>
      <c r="BJ16" s="1447"/>
      <c r="BK16" s="1447"/>
      <c r="BL16" s="1327"/>
      <c r="BM16" s="1327"/>
      <c r="BN16" s="1282"/>
      <c r="BO16" s="1282"/>
      <c r="BP16" s="1282"/>
      <c r="BQ16" s="1235"/>
      <c r="BV16" s="1181"/>
    </row>
    <row r="17" spans="1:74" ht="12.75" customHeight="1" x14ac:dyDescent="0.2">
      <c r="A17" s="2185" t="s">
        <v>256</v>
      </c>
      <c r="B17" s="2185"/>
      <c r="C17" s="1476"/>
      <c r="D17" s="1056"/>
      <c r="E17" s="937"/>
      <c r="F17" s="1190"/>
      <c r="G17" s="1190"/>
      <c r="H17" s="1190"/>
      <c r="I17" s="2303"/>
      <c r="J17" s="1275"/>
      <c r="K17" s="1275"/>
      <c r="L17" s="1275"/>
      <c r="M17" s="1477"/>
      <c r="N17" s="1275"/>
      <c r="O17" s="1275"/>
      <c r="P17" s="1275"/>
      <c r="Q17" s="1477"/>
      <c r="R17" s="1275"/>
      <c r="S17" s="1275"/>
      <c r="T17" s="1275"/>
      <c r="U17" s="1477"/>
      <c r="V17" s="1275"/>
      <c r="W17" s="1275"/>
      <c r="X17" s="1275"/>
      <c r="Y17" s="1477"/>
      <c r="Z17" s="2192"/>
      <c r="AA17" s="2192"/>
      <c r="AB17" s="2192"/>
      <c r="AC17" s="1059"/>
      <c r="AD17" s="2192"/>
      <c r="AE17" s="2192"/>
      <c r="AF17" s="2192"/>
      <c r="AG17" s="1059"/>
      <c r="AH17" s="2192"/>
      <c r="AI17" s="2192"/>
      <c r="AJ17" s="2192"/>
      <c r="AK17" s="1059"/>
      <c r="AL17" s="2192"/>
      <c r="AM17" s="2192"/>
      <c r="AN17" s="2192"/>
      <c r="AO17" s="1059"/>
      <c r="AP17" s="1281"/>
      <c r="AQ17" s="1281"/>
      <c r="AR17" s="1281"/>
      <c r="AS17" s="1278"/>
      <c r="AT17" s="1279"/>
      <c r="AU17" s="1278"/>
      <c r="AV17" s="1278"/>
      <c r="AW17" s="1278"/>
      <c r="AX17" s="1465"/>
      <c r="AY17" s="2020"/>
      <c r="AZ17" s="1467"/>
      <c r="BA17" s="1028"/>
      <c r="BB17" s="2193"/>
      <c r="BC17" s="1467"/>
      <c r="BD17" s="1447"/>
      <c r="BE17" s="1447"/>
      <c r="BF17" s="1060"/>
      <c r="BG17" s="1060"/>
      <c r="BH17" s="1060"/>
      <c r="BI17" s="1060"/>
      <c r="BJ17" s="1060"/>
      <c r="BK17" s="1060"/>
      <c r="BL17" s="1327"/>
      <c r="BM17" s="1327"/>
      <c r="BN17" s="1282"/>
      <c r="BO17" s="1282"/>
      <c r="BP17" s="1282"/>
      <c r="BQ17" s="1235"/>
      <c r="BV17" s="1181"/>
    </row>
    <row r="18" spans="1:74" ht="12.75" customHeight="1" x14ac:dyDescent="0.2">
      <c r="A18" s="1244"/>
      <c r="B18" s="1244" t="s">
        <v>183</v>
      </c>
      <c r="C18" s="1476">
        <v>-64</v>
      </c>
      <c r="D18" s="1056">
        <v>-0.19937694704049844</v>
      </c>
      <c r="E18" s="937"/>
      <c r="F18" s="1190"/>
      <c r="G18" s="1190"/>
      <c r="H18" s="1190"/>
      <c r="I18" s="2303">
        <v>257</v>
      </c>
      <c r="J18" s="1275">
        <v>279</v>
      </c>
      <c r="K18" s="1275">
        <v>291</v>
      </c>
      <c r="L18" s="1275">
        <v>303</v>
      </c>
      <c r="M18" s="1477">
        <v>321</v>
      </c>
      <c r="N18" s="1275">
        <v>329</v>
      </c>
      <c r="O18" s="1275">
        <v>373</v>
      </c>
      <c r="P18" s="1275">
        <v>384</v>
      </c>
      <c r="Q18" s="1477">
        <v>372</v>
      </c>
      <c r="R18" s="1275">
        <v>372</v>
      </c>
      <c r="S18" s="1275">
        <v>361</v>
      </c>
      <c r="T18" s="1275">
        <v>385</v>
      </c>
      <c r="U18" s="1477">
        <v>388</v>
      </c>
      <c r="V18" s="1275">
        <v>400</v>
      </c>
      <c r="W18" s="1275">
        <v>424</v>
      </c>
      <c r="X18" s="1275">
        <v>420</v>
      </c>
      <c r="Y18" s="1477">
        <v>427</v>
      </c>
      <c r="Z18" s="2192">
        <v>461</v>
      </c>
      <c r="AA18" s="2192">
        <v>143</v>
      </c>
      <c r="AB18" s="2192">
        <v>152</v>
      </c>
      <c r="AC18" s="1059">
        <v>155</v>
      </c>
      <c r="AD18" s="2192">
        <v>143</v>
      </c>
      <c r="AE18" s="2192">
        <v>140</v>
      </c>
      <c r="AF18" s="2192">
        <v>142</v>
      </c>
      <c r="AG18" s="1059">
        <v>137</v>
      </c>
      <c r="AH18" s="2192">
        <v>138</v>
      </c>
      <c r="AI18" s="2192">
        <v>136</v>
      </c>
      <c r="AJ18" s="2192">
        <v>124</v>
      </c>
      <c r="AK18" s="1059">
        <v>111</v>
      </c>
      <c r="AL18" s="2192">
        <v>114</v>
      </c>
      <c r="AM18" s="2192">
        <v>117</v>
      </c>
      <c r="AN18" s="2192">
        <v>127</v>
      </c>
      <c r="AO18" s="1059">
        <v>125</v>
      </c>
      <c r="AP18" s="1281">
        <v>125</v>
      </c>
      <c r="AQ18" s="1281">
        <v>116</v>
      </c>
      <c r="AR18" s="1281">
        <v>109</v>
      </c>
      <c r="AS18" s="1278">
        <v>104</v>
      </c>
      <c r="AT18" s="1279">
        <v>93</v>
      </c>
      <c r="AU18" s="1278">
        <v>95</v>
      </c>
      <c r="AV18" s="1278">
        <v>89</v>
      </c>
      <c r="AW18" s="1278">
        <v>88</v>
      </c>
      <c r="AX18" s="1465"/>
      <c r="AY18" s="2020">
        <v>105</v>
      </c>
      <c r="AZ18" s="1467">
        <v>112</v>
      </c>
      <c r="BA18" s="1028">
        <v>-7</v>
      </c>
      <c r="BB18" s="2193">
        <v>-6.25E-2</v>
      </c>
      <c r="BC18" s="1467"/>
      <c r="BD18" s="1447">
        <v>279</v>
      </c>
      <c r="BE18" s="1447">
        <v>329</v>
      </c>
      <c r="BF18" s="1447">
        <v>372</v>
      </c>
      <c r="BG18" s="1060">
        <v>400</v>
      </c>
      <c r="BH18" s="1060">
        <v>461</v>
      </c>
      <c r="BI18" s="1060">
        <v>143</v>
      </c>
      <c r="BJ18" s="1060">
        <v>138</v>
      </c>
      <c r="BK18" s="1060">
        <v>105</v>
      </c>
      <c r="BL18" s="1327">
        <v>112</v>
      </c>
      <c r="BM18" s="1327">
        <v>81</v>
      </c>
      <c r="BN18" s="1282">
        <v>81</v>
      </c>
      <c r="BO18" s="1282">
        <v>70</v>
      </c>
      <c r="BP18" s="1282">
        <v>52</v>
      </c>
      <c r="BQ18" s="1235"/>
      <c r="BV18" s="1181"/>
    </row>
    <row r="19" spans="1:74" ht="12.75" customHeight="1" x14ac:dyDescent="0.2">
      <c r="A19" s="1244"/>
      <c r="B19" s="1244" t="s">
        <v>319</v>
      </c>
      <c r="C19" s="1476">
        <v>5</v>
      </c>
      <c r="D19" s="1056">
        <v>1.6393442622950821E-2</v>
      </c>
      <c r="E19" s="937"/>
      <c r="F19" s="1190"/>
      <c r="G19" s="1195"/>
      <c r="H19" s="1195"/>
      <c r="I19" s="2306">
        <v>310</v>
      </c>
      <c r="J19" s="1275">
        <v>312</v>
      </c>
      <c r="K19" s="1248">
        <v>317</v>
      </c>
      <c r="L19" s="1248">
        <v>313</v>
      </c>
      <c r="M19" s="1489">
        <v>305</v>
      </c>
      <c r="N19" s="1275">
        <v>303</v>
      </c>
      <c r="O19" s="1248">
        <v>308</v>
      </c>
      <c r="P19" s="1248">
        <v>305</v>
      </c>
      <c r="Q19" s="1489">
        <v>305</v>
      </c>
      <c r="R19" s="1275">
        <v>294</v>
      </c>
      <c r="S19" s="1248">
        <v>294</v>
      </c>
      <c r="T19" s="1248">
        <v>287</v>
      </c>
      <c r="U19" s="1489">
        <v>289</v>
      </c>
      <c r="V19" s="1275">
        <v>294</v>
      </c>
      <c r="W19" s="1248">
        <v>298</v>
      </c>
      <c r="X19" s="1248">
        <v>262</v>
      </c>
      <c r="Y19" s="1489">
        <v>267</v>
      </c>
      <c r="Z19" s="2192">
        <v>276</v>
      </c>
      <c r="AA19" s="1028">
        <v>0</v>
      </c>
      <c r="AB19" s="1028">
        <v>0</v>
      </c>
      <c r="AC19" s="1059">
        <v>0</v>
      </c>
      <c r="AD19" s="1028">
        <v>0</v>
      </c>
      <c r="AE19" s="1028">
        <v>0</v>
      </c>
      <c r="AF19" s="1028">
        <v>0</v>
      </c>
      <c r="AG19" s="1059">
        <v>0</v>
      </c>
      <c r="AH19" s="1028">
        <v>0</v>
      </c>
      <c r="AI19" s="1028">
        <v>0</v>
      </c>
      <c r="AJ19" s="2192"/>
      <c r="AK19" s="1059"/>
      <c r="AL19" s="2192"/>
      <c r="AM19" s="2192"/>
      <c r="AN19" s="2192"/>
      <c r="AO19" s="1059"/>
      <c r="AP19" s="1281"/>
      <c r="AQ19" s="1281"/>
      <c r="AR19" s="1281"/>
      <c r="AS19" s="1278"/>
      <c r="AT19" s="1279"/>
      <c r="AU19" s="1278"/>
      <c r="AV19" s="1278"/>
      <c r="AW19" s="1278"/>
      <c r="AX19" s="1465"/>
      <c r="AY19" s="2020"/>
      <c r="AZ19" s="1467"/>
      <c r="BA19" s="1028"/>
      <c r="BB19" s="2193"/>
      <c r="BC19" s="1467"/>
      <c r="BD19" s="1447">
        <v>312</v>
      </c>
      <c r="BE19" s="1447">
        <v>303</v>
      </c>
      <c r="BF19" s="1447">
        <v>294</v>
      </c>
      <c r="BG19" s="1060">
        <v>294</v>
      </c>
      <c r="BH19" s="1060">
        <v>276</v>
      </c>
      <c r="BI19" s="1060">
        <v>0</v>
      </c>
      <c r="BJ19" s="1060">
        <v>0</v>
      </c>
      <c r="BK19" s="1060">
        <v>0</v>
      </c>
      <c r="BL19" s="1297">
        <v>0</v>
      </c>
      <c r="BM19" s="1327"/>
      <c r="BN19" s="1282"/>
      <c r="BO19" s="1282"/>
      <c r="BP19" s="1282"/>
      <c r="BQ19" s="1235"/>
      <c r="BV19" s="1181"/>
    </row>
    <row r="20" spans="1:74" ht="12.75" customHeight="1" x14ac:dyDescent="0.2">
      <c r="A20" s="1244"/>
      <c r="B20" s="1244"/>
      <c r="C20" s="1476"/>
      <c r="D20" s="1056"/>
      <c r="E20" s="937"/>
      <c r="F20" s="1190"/>
      <c r="G20" s="1190"/>
      <c r="H20" s="1190"/>
      <c r="I20" s="2303"/>
      <c r="J20" s="1275"/>
      <c r="K20" s="1275"/>
      <c r="L20" s="1275"/>
      <c r="M20" s="1477"/>
      <c r="N20" s="1275"/>
      <c r="O20" s="1275"/>
      <c r="P20" s="1275"/>
      <c r="Q20" s="1477"/>
      <c r="R20" s="1275"/>
      <c r="S20" s="1275"/>
      <c r="T20" s="1275"/>
      <c r="U20" s="1477"/>
      <c r="V20" s="1275"/>
      <c r="W20" s="1275"/>
      <c r="X20" s="1275"/>
      <c r="Y20" s="1477"/>
      <c r="Z20" s="2192"/>
      <c r="AA20" s="2192"/>
      <c r="AB20" s="2192"/>
      <c r="AC20" s="1059"/>
      <c r="AD20" s="2192"/>
      <c r="AE20" s="2192"/>
      <c r="AF20" s="2192"/>
      <c r="AG20" s="1059"/>
      <c r="AH20" s="2192"/>
      <c r="AI20" s="2192"/>
      <c r="AJ20" s="2192"/>
      <c r="AK20" s="1059"/>
      <c r="AL20" s="2192"/>
      <c r="AM20" s="2192"/>
      <c r="AN20" s="2192"/>
      <c r="AO20" s="1059"/>
      <c r="AP20" s="1281"/>
      <c r="AQ20" s="1281"/>
      <c r="AR20" s="1281"/>
      <c r="AS20" s="1278"/>
      <c r="AT20" s="1279"/>
      <c r="AU20" s="1278"/>
      <c r="AV20" s="1278"/>
      <c r="AW20" s="1278"/>
      <c r="AX20" s="1465"/>
      <c r="AY20" s="2020"/>
      <c r="AZ20" s="1467"/>
      <c r="BA20" s="1028"/>
      <c r="BB20" s="2193"/>
      <c r="BC20" s="1467"/>
      <c r="BD20" s="1447"/>
      <c r="BE20" s="1447"/>
      <c r="BF20" s="1060"/>
      <c r="BG20" s="1060"/>
      <c r="BH20" s="1060"/>
      <c r="BI20" s="1060"/>
      <c r="BJ20" s="1060"/>
      <c r="BK20" s="1060"/>
      <c r="BL20" s="1327"/>
      <c r="BM20" s="1327"/>
      <c r="BN20" s="1282"/>
      <c r="BO20" s="1282"/>
      <c r="BP20" s="1282"/>
      <c r="BQ20" s="1235"/>
      <c r="BV20" s="1181"/>
    </row>
    <row r="21" spans="1:74" ht="12.75" customHeight="1" x14ac:dyDescent="0.2">
      <c r="A21" s="2185" t="s">
        <v>109</v>
      </c>
      <c r="B21" s="2185"/>
      <c r="C21" s="1476"/>
      <c r="D21" s="1056"/>
      <c r="E21" s="937"/>
      <c r="F21" s="1190"/>
      <c r="G21" s="1190"/>
      <c r="H21" s="1190"/>
      <c r="I21" s="2303"/>
      <c r="J21" s="1275"/>
      <c r="K21" s="1275"/>
      <c r="L21" s="1275"/>
      <c r="M21" s="1477"/>
      <c r="N21" s="1275"/>
      <c r="O21" s="1275"/>
      <c r="P21" s="1275"/>
      <c r="Q21" s="1477"/>
      <c r="R21" s="1275"/>
      <c r="S21" s="1275"/>
      <c r="T21" s="1275"/>
      <c r="U21" s="1477"/>
      <c r="V21" s="1275"/>
      <c r="W21" s="1275"/>
      <c r="X21" s="1275"/>
      <c r="Y21" s="1477"/>
      <c r="Z21" s="2192"/>
      <c r="AA21" s="2192"/>
      <c r="AB21" s="2192"/>
      <c r="AC21" s="1059"/>
      <c r="AD21" s="2192"/>
      <c r="AE21" s="2192"/>
      <c r="AF21" s="2192"/>
      <c r="AG21" s="1059"/>
      <c r="AH21" s="2192"/>
      <c r="AI21" s="2192"/>
      <c r="AJ21" s="2192"/>
      <c r="AK21" s="1059"/>
      <c r="AL21" s="2192"/>
      <c r="AM21" s="2192"/>
      <c r="AN21" s="2192"/>
      <c r="AO21" s="1059"/>
      <c r="AP21" s="1281"/>
      <c r="AQ21" s="1281"/>
      <c r="AR21" s="1281"/>
      <c r="AS21" s="1278"/>
      <c r="AT21" s="1279"/>
      <c r="AU21" s="1278"/>
      <c r="AV21" s="1278"/>
      <c r="AW21" s="1278"/>
      <c r="AX21" s="1465"/>
      <c r="AY21" s="2020"/>
      <c r="AZ21" s="1467"/>
      <c r="BA21" s="1028"/>
      <c r="BB21" s="2193"/>
      <c r="BC21" s="1467"/>
      <c r="BD21" s="1447"/>
      <c r="BE21" s="1447"/>
      <c r="BF21" s="1060"/>
      <c r="BG21" s="1060"/>
      <c r="BH21" s="1060"/>
      <c r="BI21" s="1060"/>
      <c r="BJ21" s="1060"/>
      <c r="BK21" s="1060"/>
      <c r="BL21" s="1327"/>
      <c r="BM21" s="1327"/>
      <c r="BN21" s="1282"/>
      <c r="BO21" s="1282"/>
      <c r="BP21" s="1282"/>
      <c r="BQ21" s="1235"/>
      <c r="BV21" s="1181"/>
    </row>
    <row r="22" spans="1:74" ht="12.75" customHeight="1" x14ac:dyDescent="0.2">
      <c r="A22" s="1244"/>
      <c r="B22" s="1244" t="s">
        <v>183</v>
      </c>
      <c r="C22" s="1476">
        <v>18</v>
      </c>
      <c r="D22" s="1056">
        <v>6.3157894736842107E-2</v>
      </c>
      <c r="E22" s="937"/>
      <c r="F22" s="1190"/>
      <c r="G22" s="1190"/>
      <c r="H22" s="1190"/>
      <c r="I22" s="2303">
        <v>303</v>
      </c>
      <c r="J22" s="1275">
        <v>291</v>
      </c>
      <c r="K22" s="1275">
        <v>280</v>
      </c>
      <c r="L22" s="1275">
        <v>285</v>
      </c>
      <c r="M22" s="1477">
        <v>285</v>
      </c>
      <c r="N22" s="1275">
        <v>269</v>
      </c>
      <c r="O22" s="1275">
        <v>294</v>
      </c>
      <c r="P22" s="1275">
        <v>295</v>
      </c>
      <c r="Q22" s="1477">
        <v>291</v>
      </c>
      <c r="R22" s="1275">
        <v>286</v>
      </c>
      <c r="S22" s="1275">
        <v>279</v>
      </c>
      <c r="T22" s="1275">
        <v>275</v>
      </c>
      <c r="U22" s="1477">
        <v>264</v>
      </c>
      <c r="V22" s="1275">
        <v>253</v>
      </c>
      <c r="W22" s="1275">
        <v>259</v>
      </c>
      <c r="X22" s="1275">
        <v>252</v>
      </c>
      <c r="Y22" s="1477">
        <v>304</v>
      </c>
      <c r="Z22" s="2192">
        <v>302</v>
      </c>
      <c r="AA22" s="2192">
        <v>176</v>
      </c>
      <c r="AB22" s="2192">
        <v>186</v>
      </c>
      <c r="AC22" s="1059">
        <v>180</v>
      </c>
      <c r="AD22" s="2192">
        <v>175</v>
      </c>
      <c r="AE22" s="2192">
        <v>175</v>
      </c>
      <c r="AF22" s="2192">
        <v>178</v>
      </c>
      <c r="AG22" s="1059">
        <v>169</v>
      </c>
      <c r="AH22" s="2192">
        <v>163</v>
      </c>
      <c r="AI22" s="2192">
        <v>162</v>
      </c>
      <c r="AJ22" s="2192">
        <v>157</v>
      </c>
      <c r="AK22" s="1059">
        <v>152</v>
      </c>
      <c r="AL22" s="2194">
        <v>151</v>
      </c>
      <c r="AM22" s="2192">
        <v>152</v>
      </c>
      <c r="AN22" s="2192">
        <v>176</v>
      </c>
      <c r="AO22" s="1059">
        <v>169</v>
      </c>
      <c r="AP22" s="1281">
        <v>163</v>
      </c>
      <c r="AQ22" s="1281">
        <v>161</v>
      </c>
      <c r="AR22" s="1281">
        <v>162</v>
      </c>
      <c r="AS22" s="1278">
        <v>170</v>
      </c>
      <c r="AT22" s="1279">
        <v>163</v>
      </c>
      <c r="AU22" s="1278">
        <v>170</v>
      </c>
      <c r="AV22" s="1278">
        <v>164</v>
      </c>
      <c r="AW22" s="1278">
        <v>154</v>
      </c>
      <c r="AX22" s="1465"/>
      <c r="AY22" s="2020">
        <v>151</v>
      </c>
      <c r="AZ22" s="1467">
        <v>163</v>
      </c>
      <c r="BA22" s="1028">
        <v>-12</v>
      </c>
      <c r="BB22" s="2193">
        <v>-7.3619631901840496E-2</v>
      </c>
      <c r="BC22" s="1467"/>
      <c r="BD22" s="1447">
        <v>291</v>
      </c>
      <c r="BE22" s="1447">
        <v>269</v>
      </c>
      <c r="BF22" s="1060">
        <v>286</v>
      </c>
      <c r="BG22" s="1060">
        <v>253</v>
      </c>
      <c r="BH22" s="1060">
        <v>302</v>
      </c>
      <c r="BI22" s="1060">
        <v>175</v>
      </c>
      <c r="BJ22" s="1060">
        <v>163</v>
      </c>
      <c r="BK22" s="1060">
        <v>151</v>
      </c>
      <c r="BL22" s="1327">
        <v>163</v>
      </c>
      <c r="BM22" s="1327">
        <v>163</v>
      </c>
      <c r="BN22" s="1282">
        <v>150</v>
      </c>
      <c r="BO22" s="1282">
        <v>0</v>
      </c>
      <c r="BP22" s="1282">
        <v>0</v>
      </c>
      <c r="BQ22" s="1235"/>
      <c r="BV22" s="1181"/>
    </row>
    <row r="23" spans="1:74" ht="12.75" customHeight="1" x14ac:dyDescent="0.2">
      <c r="A23" s="1244"/>
      <c r="B23" s="1244"/>
      <c r="C23" s="1476"/>
      <c r="D23" s="1056"/>
      <c r="E23" s="937"/>
      <c r="F23" s="1190"/>
      <c r="G23" s="1190"/>
      <c r="H23" s="1190"/>
      <c r="I23" s="2303"/>
      <c r="J23" s="1275"/>
      <c r="K23" s="1275"/>
      <c r="L23" s="1275"/>
      <c r="M23" s="1477"/>
      <c r="N23" s="1275"/>
      <c r="O23" s="1275"/>
      <c r="P23" s="1275"/>
      <c r="Q23" s="1477"/>
      <c r="R23" s="1275"/>
      <c r="S23" s="1275"/>
      <c r="T23" s="1275"/>
      <c r="U23" s="1477"/>
      <c r="V23" s="1275"/>
      <c r="W23" s="1275"/>
      <c r="X23" s="1275"/>
      <c r="Y23" s="1477"/>
      <c r="Z23" s="2192"/>
      <c r="AA23" s="2192"/>
      <c r="AB23" s="2192"/>
      <c r="AC23" s="1059"/>
      <c r="AD23" s="2192"/>
      <c r="AE23" s="2192"/>
      <c r="AF23" s="2192"/>
      <c r="AG23" s="1059"/>
      <c r="AH23" s="2192"/>
      <c r="AI23" s="2192"/>
      <c r="AJ23" s="2192"/>
      <c r="AK23" s="1059"/>
      <c r="AL23" s="2194"/>
      <c r="AM23" s="2192"/>
      <c r="AN23" s="2192"/>
      <c r="AO23" s="1059"/>
      <c r="AP23" s="1281"/>
      <c r="AQ23" s="1281"/>
      <c r="AR23" s="1281"/>
      <c r="AS23" s="1278"/>
      <c r="AT23" s="1279"/>
      <c r="AU23" s="1278"/>
      <c r="AV23" s="1278"/>
      <c r="AW23" s="1278"/>
      <c r="AX23" s="1465"/>
      <c r="AY23" s="2020"/>
      <c r="AZ23" s="1467"/>
      <c r="BA23" s="1028"/>
      <c r="BB23" s="2193"/>
      <c r="BC23" s="1467"/>
      <c r="BD23" s="1447"/>
      <c r="BE23" s="1447"/>
      <c r="BF23" s="1060"/>
      <c r="BG23" s="1060"/>
      <c r="BH23" s="1060"/>
      <c r="BI23" s="1060"/>
      <c r="BJ23" s="1060"/>
      <c r="BK23" s="1060"/>
      <c r="BL23" s="1327"/>
      <c r="BM23" s="1327"/>
      <c r="BN23" s="1282"/>
      <c r="BO23" s="1282"/>
      <c r="BP23" s="1282"/>
      <c r="BQ23" s="1235"/>
      <c r="BV23" s="1181"/>
    </row>
    <row r="24" spans="1:74" ht="12.75" customHeight="1" x14ac:dyDescent="0.2">
      <c r="A24" s="2185" t="s">
        <v>242</v>
      </c>
      <c r="B24" s="2185"/>
      <c r="C24" s="1476"/>
      <c r="D24" s="1056"/>
      <c r="E24" s="937"/>
      <c r="F24" s="1190"/>
      <c r="G24" s="1190"/>
      <c r="H24" s="1190"/>
      <c r="I24" s="2303"/>
      <c r="J24" s="1275"/>
      <c r="K24" s="1275"/>
      <c r="L24" s="1275"/>
      <c r="M24" s="1477"/>
      <c r="N24" s="1275"/>
      <c r="O24" s="1275"/>
      <c r="P24" s="1275"/>
      <c r="Q24" s="1477"/>
      <c r="R24" s="1275"/>
      <c r="S24" s="1275"/>
      <c r="T24" s="1275"/>
      <c r="U24" s="1477"/>
      <c r="V24" s="1275"/>
      <c r="W24" s="1275"/>
      <c r="X24" s="1275"/>
      <c r="Y24" s="1477"/>
      <c r="Z24" s="2192"/>
      <c r="AA24" s="2192"/>
      <c r="AB24" s="2192"/>
      <c r="AC24" s="1059"/>
      <c r="AD24" s="2192"/>
      <c r="AE24" s="2192"/>
      <c r="AF24" s="2192"/>
      <c r="AG24" s="1059"/>
      <c r="AH24" s="2192"/>
      <c r="AI24" s="2192"/>
      <c r="AJ24" s="2192"/>
      <c r="AK24" s="1059"/>
      <c r="AL24" s="2194"/>
      <c r="AM24" s="2192"/>
      <c r="AN24" s="2192"/>
      <c r="AO24" s="1059"/>
      <c r="AP24" s="1281"/>
      <c r="AQ24" s="1281"/>
      <c r="AR24" s="1281"/>
      <c r="AS24" s="1278"/>
      <c r="AT24" s="1279"/>
      <c r="AU24" s="1278"/>
      <c r="AV24" s="1278"/>
      <c r="AW24" s="1278"/>
      <c r="AX24" s="1465"/>
      <c r="AY24" s="2020"/>
      <c r="AZ24" s="1467"/>
      <c r="BA24" s="1028"/>
      <c r="BB24" s="2193"/>
      <c r="BC24" s="1467"/>
      <c r="BD24" s="1447"/>
      <c r="BE24" s="1447"/>
      <c r="BF24" s="1060"/>
      <c r="BG24" s="1060"/>
      <c r="BH24" s="1060"/>
      <c r="BI24" s="1060"/>
      <c r="BJ24" s="1060"/>
      <c r="BK24" s="1060"/>
      <c r="BL24" s="1327"/>
      <c r="BM24" s="1327"/>
      <c r="BN24" s="1282"/>
      <c r="BO24" s="1282"/>
      <c r="BP24" s="1282"/>
      <c r="BQ24" s="1235"/>
      <c r="BV24" s="1181"/>
    </row>
    <row r="25" spans="1:74" ht="12.75" customHeight="1" x14ac:dyDescent="0.2">
      <c r="A25" s="1244"/>
      <c r="B25" s="1244" t="s">
        <v>243</v>
      </c>
      <c r="C25" s="1476">
        <v>-23</v>
      </c>
      <c r="D25" s="1056">
        <v>-0.26136363636363635</v>
      </c>
      <c r="E25" s="937"/>
      <c r="F25" s="1190"/>
      <c r="G25" s="1190"/>
      <c r="H25" s="1190"/>
      <c r="I25" s="1200">
        <v>65</v>
      </c>
      <c r="J25" s="1275">
        <v>81</v>
      </c>
      <c r="K25" s="1275">
        <v>85</v>
      </c>
      <c r="L25" s="1275">
        <v>86</v>
      </c>
      <c r="M25" s="1306">
        <v>88</v>
      </c>
      <c r="N25" s="1275">
        <v>89</v>
      </c>
      <c r="O25" s="1275">
        <v>87</v>
      </c>
      <c r="P25" s="1275">
        <v>86</v>
      </c>
      <c r="Q25" s="1306">
        <v>88</v>
      </c>
      <c r="R25" s="1275">
        <v>89</v>
      </c>
      <c r="S25" s="1275">
        <v>90</v>
      </c>
      <c r="T25" s="1275">
        <v>90</v>
      </c>
      <c r="U25" s="1306">
        <v>88</v>
      </c>
      <c r="V25" s="1275">
        <v>84</v>
      </c>
      <c r="W25" s="1275">
        <v>85</v>
      </c>
      <c r="X25" s="1275">
        <v>81</v>
      </c>
      <c r="Y25" s="1306">
        <v>82</v>
      </c>
      <c r="Z25" s="2192">
        <v>80</v>
      </c>
      <c r="AA25" s="2192">
        <v>69</v>
      </c>
      <c r="AB25" s="2192">
        <v>36</v>
      </c>
      <c r="AC25" s="2193">
        <v>36</v>
      </c>
      <c r="AD25" s="2192">
        <v>41</v>
      </c>
      <c r="AE25" s="2192">
        <v>1</v>
      </c>
      <c r="AF25" s="2192">
        <v>1</v>
      </c>
      <c r="AG25" s="2193">
        <v>1</v>
      </c>
      <c r="AH25" s="2195">
        <v>1</v>
      </c>
      <c r="AI25" s="2192">
        <v>1</v>
      </c>
      <c r="AJ25" s="2192">
        <v>1</v>
      </c>
      <c r="AK25" s="2193">
        <v>7</v>
      </c>
      <c r="AL25" s="2194" t="s">
        <v>177</v>
      </c>
      <c r="AM25" s="2192"/>
      <c r="AN25" s="2192"/>
      <c r="AO25" s="1059"/>
      <c r="AP25" s="1281"/>
      <c r="AQ25" s="1281"/>
      <c r="AR25" s="1281"/>
      <c r="AS25" s="1278"/>
      <c r="AT25" s="1279"/>
      <c r="AU25" s="1278"/>
      <c r="AV25" s="1278"/>
      <c r="AW25" s="1278"/>
      <c r="AX25" s="1465"/>
      <c r="AY25" s="2020"/>
      <c r="AZ25" s="1467"/>
      <c r="BA25" s="1028"/>
      <c r="BB25" s="2193"/>
      <c r="BC25" s="1467"/>
      <c r="BD25" s="1447">
        <v>81</v>
      </c>
      <c r="BE25" s="1447">
        <v>89</v>
      </c>
      <c r="BF25" s="1060">
        <v>89</v>
      </c>
      <c r="BG25" s="1060">
        <v>84</v>
      </c>
      <c r="BH25" s="1060">
        <v>80</v>
      </c>
      <c r="BI25" s="1060">
        <v>41</v>
      </c>
      <c r="BJ25" s="1060">
        <v>1</v>
      </c>
      <c r="BK25" s="1060">
        <v>9</v>
      </c>
      <c r="BL25" s="1447">
        <v>13</v>
      </c>
      <c r="BM25" s="1447">
        <v>12</v>
      </c>
      <c r="BN25" s="1282">
        <v>150</v>
      </c>
      <c r="BO25" s="1282">
        <v>0</v>
      </c>
      <c r="BP25" s="1282">
        <v>0</v>
      </c>
      <c r="BQ25" s="1235"/>
      <c r="BV25" s="1181"/>
    </row>
    <row r="26" spans="1:74" ht="12.75" customHeight="1" x14ac:dyDescent="0.2">
      <c r="A26" s="1244"/>
      <c r="B26" s="1244" t="s">
        <v>319</v>
      </c>
      <c r="C26" s="1476">
        <v>-3</v>
      </c>
      <c r="D26" s="1056">
        <v>-0.21428571428571427</v>
      </c>
      <c r="E26" s="937"/>
      <c r="F26" s="1190"/>
      <c r="G26" s="1190"/>
      <c r="H26" s="1190"/>
      <c r="I26" s="1200">
        <v>11</v>
      </c>
      <c r="J26" s="1275">
        <v>10</v>
      </c>
      <c r="K26" s="1275">
        <v>10</v>
      </c>
      <c r="L26" s="1275">
        <v>14</v>
      </c>
      <c r="M26" s="1306">
        <v>14</v>
      </c>
      <c r="N26" s="1275">
        <v>13</v>
      </c>
      <c r="O26" s="1275">
        <v>13</v>
      </c>
      <c r="P26" s="1275">
        <v>13</v>
      </c>
      <c r="Q26" s="1306">
        <v>13</v>
      </c>
      <c r="R26" s="1275">
        <v>12</v>
      </c>
      <c r="S26" s="1275">
        <v>12</v>
      </c>
      <c r="T26" s="1275">
        <v>10</v>
      </c>
      <c r="U26" s="1306">
        <v>10</v>
      </c>
      <c r="V26" s="1275">
        <v>14</v>
      </c>
      <c r="W26" s="1275">
        <v>14</v>
      </c>
      <c r="X26" s="1275">
        <v>15</v>
      </c>
      <c r="Y26" s="1306">
        <v>11</v>
      </c>
      <c r="Z26" s="1028">
        <v>0</v>
      </c>
      <c r="AA26" s="1028">
        <v>0</v>
      </c>
      <c r="AB26" s="1028">
        <v>0</v>
      </c>
      <c r="AC26" s="1059">
        <v>0</v>
      </c>
      <c r="AD26" s="1028">
        <v>0</v>
      </c>
      <c r="AE26" s="1028">
        <v>0</v>
      </c>
      <c r="AF26" s="1028">
        <v>0</v>
      </c>
      <c r="AG26" s="1059">
        <v>0</v>
      </c>
      <c r="AH26" s="2195"/>
      <c r="AI26" s="2192"/>
      <c r="AJ26" s="2192"/>
      <c r="AK26" s="2193"/>
      <c r="AL26" s="2194"/>
      <c r="AM26" s="2192"/>
      <c r="AN26" s="2192"/>
      <c r="AO26" s="1059"/>
      <c r="AP26" s="1281"/>
      <c r="AQ26" s="1281"/>
      <c r="AR26" s="1281"/>
      <c r="AS26" s="1278"/>
      <c r="AT26" s="1279"/>
      <c r="AU26" s="1278"/>
      <c r="AV26" s="1278"/>
      <c r="AW26" s="1278"/>
      <c r="AX26" s="1465"/>
      <c r="AY26" s="2020"/>
      <c r="AZ26" s="1467"/>
      <c r="BA26" s="1028"/>
      <c r="BB26" s="2193"/>
      <c r="BC26" s="1467"/>
      <c r="BD26" s="1447">
        <v>10</v>
      </c>
      <c r="BE26" s="1447">
        <v>13</v>
      </c>
      <c r="BF26" s="1060">
        <v>12</v>
      </c>
      <c r="BG26" s="1060">
        <v>14</v>
      </c>
      <c r="BH26" s="1060">
        <v>0</v>
      </c>
      <c r="BI26" s="1060">
        <v>0</v>
      </c>
      <c r="BJ26" s="1060">
        <v>0</v>
      </c>
      <c r="BK26" s="1060">
        <v>0</v>
      </c>
      <c r="BL26" s="1493">
        <v>0</v>
      </c>
      <c r="BM26" s="1447"/>
      <c r="BN26" s="1282"/>
      <c r="BO26" s="1282"/>
      <c r="BP26" s="1282"/>
      <c r="BQ26" s="1235"/>
      <c r="BV26" s="1181"/>
    </row>
    <row r="27" spans="1:74" ht="12.75" customHeight="1" x14ac:dyDescent="0.2">
      <c r="A27" s="1244"/>
      <c r="B27" s="1244"/>
      <c r="C27" s="1476"/>
      <c r="D27" s="1056"/>
      <c r="E27" s="1205"/>
      <c r="F27" s="1190"/>
      <c r="G27" s="1190"/>
      <c r="H27" s="1190"/>
      <c r="I27" s="2303"/>
      <c r="J27" s="1275"/>
      <c r="K27" s="1275"/>
      <c r="L27" s="1275"/>
      <c r="M27" s="1477"/>
      <c r="N27" s="1275"/>
      <c r="O27" s="1275"/>
      <c r="P27" s="1275"/>
      <c r="Q27" s="1477"/>
      <c r="R27" s="1275"/>
      <c r="S27" s="1275"/>
      <c r="T27" s="1275"/>
      <c r="U27" s="1477"/>
      <c r="V27" s="1275"/>
      <c r="W27" s="1275"/>
      <c r="X27" s="1275"/>
      <c r="Y27" s="1477"/>
      <c r="Z27" s="2192"/>
      <c r="AA27" s="2192"/>
      <c r="AB27" s="2192"/>
      <c r="AC27" s="1059"/>
      <c r="AD27" s="2192"/>
      <c r="AE27" s="2192"/>
      <c r="AF27" s="2192"/>
      <c r="AG27" s="1059"/>
      <c r="AH27" s="2195"/>
      <c r="AI27" s="2192"/>
      <c r="AJ27" s="2192"/>
      <c r="AK27" s="1059"/>
      <c r="AL27" s="2194"/>
      <c r="AM27" s="2192"/>
      <c r="AN27" s="2192"/>
      <c r="AO27" s="1059"/>
      <c r="AP27" s="1281"/>
      <c r="AQ27" s="1281"/>
      <c r="AR27" s="1281"/>
      <c r="AS27" s="1278"/>
      <c r="AT27" s="1279"/>
      <c r="AU27" s="1278"/>
      <c r="AV27" s="1278"/>
      <c r="AW27" s="1278"/>
      <c r="AX27" s="1465"/>
      <c r="AY27" s="2020"/>
      <c r="AZ27" s="1467"/>
      <c r="BA27" s="1028"/>
      <c r="BB27" s="2193"/>
      <c r="BC27" s="1467"/>
      <c r="BD27" s="1447"/>
      <c r="BE27" s="1447"/>
      <c r="BF27" s="1060"/>
      <c r="BG27" s="1060"/>
      <c r="BH27" s="1060"/>
      <c r="BI27" s="1060"/>
      <c r="BJ27" s="1060"/>
      <c r="BK27" s="1060"/>
      <c r="BL27" s="1327"/>
      <c r="BM27" s="1327"/>
      <c r="BN27" s="1282"/>
      <c r="BO27" s="1282"/>
      <c r="BP27" s="1282"/>
      <c r="BQ27" s="1235"/>
      <c r="BV27" s="1181"/>
    </row>
    <row r="28" spans="1:74" ht="12.75" customHeight="1" x14ac:dyDescent="0.2">
      <c r="A28" s="2185" t="s">
        <v>430</v>
      </c>
      <c r="B28" s="1244"/>
      <c r="C28" s="1476">
        <v>-160</v>
      </c>
      <c r="D28" s="1056">
        <v>-8.4121976866456366E-2</v>
      </c>
      <c r="E28" s="937"/>
      <c r="F28" s="1190">
        <v>0</v>
      </c>
      <c r="G28" s="1190">
        <v>0</v>
      </c>
      <c r="H28" s="1190">
        <v>0</v>
      </c>
      <c r="I28" s="1200">
        <v>1742</v>
      </c>
      <c r="J28" s="1275">
        <v>1795</v>
      </c>
      <c r="K28" s="1275">
        <v>1858</v>
      </c>
      <c r="L28" s="1275">
        <v>1887</v>
      </c>
      <c r="M28" s="1306">
        <v>1902</v>
      </c>
      <c r="N28" s="1275">
        <v>1928</v>
      </c>
      <c r="O28" s="1275">
        <v>2002</v>
      </c>
      <c r="P28" s="1275">
        <v>2018</v>
      </c>
      <c r="Q28" s="1306">
        <v>2011</v>
      </c>
      <c r="R28" s="1275">
        <v>2004</v>
      </c>
      <c r="S28" s="1275">
        <v>1994</v>
      </c>
      <c r="T28" s="1275">
        <v>2012</v>
      </c>
      <c r="U28" s="1306">
        <v>2031</v>
      </c>
      <c r="V28" s="1275">
        <v>2060</v>
      </c>
      <c r="W28" s="1275">
        <v>2129</v>
      </c>
      <c r="X28" s="1275">
        <v>2215</v>
      </c>
      <c r="Y28" s="1306">
        <v>2368</v>
      </c>
      <c r="Z28" s="2192">
        <v>2428</v>
      </c>
      <c r="AA28" s="2192">
        <v>1735</v>
      </c>
      <c r="AB28" s="2192">
        <v>1710</v>
      </c>
      <c r="AC28" s="2193">
        <v>1684</v>
      </c>
      <c r="AD28" s="2192">
        <v>1684</v>
      </c>
      <c r="AE28" s="2192">
        <v>1628</v>
      </c>
      <c r="AF28" s="2192">
        <v>1631</v>
      </c>
      <c r="AG28" s="2193">
        <v>1640</v>
      </c>
      <c r="AH28" s="2195">
        <v>1549</v>
      </c>
      <c r="AI28" s="2192">
        <v>1570</v>
      </c>
      <c r="AJ28" s="2192">
        <v>1539</v>
      </c>
      <c r="AK28" s="1059">
        <v>1514</v>
      </c>
      <c r="AL28" s="2194">
        <v>1530</v>
      </c>
      <c r="AM28" s="2192">
        <v>1570</v>
      </c>
      <c r="AN28" s="2192">
        <v>1688</v>
      </c>
      <c r="AO28" s="1059">
        <v>1698</v>
      </c>
      <c r="AP28" s="1026">
        <v>1683</v>
      </c>
      <c r="AQ28" s="1026">
        <v>1676</v>
      </c>
      <c r="AR28" s="1026">
        <v>1689</v>
      </c>
      <c r="AS28" s="1308">
        <v>1657</v>
      </c>
      <c r="AT28" s="1309">
        <v>1590</v>
      </c>
      <c r="AU28" s="1308">
        <v>1575</v>
      </c>
      <c r="AV28" s="1308">
        <v>1562</v>
      </c>
      <c r="AW28" s="1308">
        <v>1534</v>
      </c>
      <c r="AX28" s="2196"/>
      <c r="AY28" s="1462">
        <v>1530</v>
      </c>
      <c r="AZ28" s="1467">
        <v>1683</v>
      </c>
      <c r="BA28" s="1028">
        <v>-153</v>
      </c>
      <c r="BB28" s="2193">
        <v>-9.0909090909090912E-2</v>
      </c>
      <c r="BC28" s="1467"/>
      <c r="BD28" s="1447">
        <v>1795</v>
      </c>
      <c r="BE28" s="1447">
        <v>1928</v>
      </c>
      <c r="BF28" s="1060">
        <v>2004</v>
      </c>
      <c r="BG28" s="1060">
        <v>2060</v>
      </c>
      <c r="BH28" s="1060">
        <v>2428</v>
      </c>
      <c r="BI28" s="2193">
        <v>1684</v>
      </c>
      <c r="BJ28" s="1060">
        <v>1549</v>
      </c>
      <c r="BK28" s="1060">
        <v>1530</v>
      </c>
      <c r="BL28" s="1327">
        <v>1683</v>
      </c>
      <c r="BM28" s="1327">
        <v>1590</v>
      </c>
      <c r="BN28" s="1282">
        <v>1638</v>
      </c>
      <c r="BO28" s="1282">
        <v>1260</v>
      </c>
      <c r="BP28" s="1282">
        <v>1156</v>
      </c>
      <c r="BQ28" s="1235"/>
      <c r="BV28" s="1181"/>
    </row>
    <row r="29" spans="1:74" ht="12.75" customHeight="1" x14ac:dyDescent="0.2">
      <c r="A29" s="1244"/>
      <c r="B29" s="1244"/>
      <c r="C29" s="1476"/>
      <c r="D29" s="1056"/>
      <c r="E29" s="937"/>
      <c r="F29" s="926"/>
      <c r="G29" s="926"/>
      <c r="H29" s="1190"/>
      <c r="I29" s="2303"/>
      <c r="J29" s="975"/>
      <c r="K29" s="975"/>
      <c r="L29" s="1275"/>
      <c r="M29" s="1477"/>
      <c r="N29" s="975"/>
      <c r="O29" s="975"/>
      <c r="P29" s="1275"/>
      <c r="Q29" s="1477"/>
      <c r="R29" s="975"/>
      <c r="S29" s="975"/>
      <c r="T29" s="1275"/>
      <c r="U29" s="1477"/>
      <c r="V29" s="975"/>
      <c r="W29" s="975"/>
      <c r="X29" s="1275"/>
      <c r="Y29" s="1477"/>
      <c r="Z29" s="2192"/>
      <c r="AA29" s="2192"/>
      <c r="AB29" s="2192"/>
      <c r="AC29" s="1059"/>
      <c r="AD29" s="2192"/>
      <c r="AE29" s="2192"/>
      <c r="AF29" s="2192"/>
      <c r="AG29" s="1059"/>
      <c r="AH29" s="2192"/>
      <c r="AI29" s="2192"/>
      <c r="AJ29" s="2192"/>
      <c r="AK29" s="1059"/>
      <c r="AL29" s="2194"/>
      <c r="AM29" s="2192"/>
      <c r="AN29" s="2192"/>
      <c r="AO29" s="1059"/>
      <c r="AP29" s="1026"/>
      <c r="AQ29" s="1026"/>
      <c r="AR29" s="1026"/>
      <c r="AS29" s="1308"/>
      <c r="AT29" s="1309"/>
      <c r="AU29" s="1308"/>
      <c r="AV29" s="1308"/>
      <c r="AW29" s="1308"/>
      <c r="AX29" s="2196"/>
      <c r="AY29" s="1462"/>
      <c r="AZ29" s="1467"/>
      <c r="BA29" s="1028"/>
      <c r="BB29" s="2193"/>
      <c r="BC29" s="1467"/>
      <c r="BD29" s="1447"/>
      <c r="BE29" s="1447"/>
      <c r="BF29" s="1060"/>
      <c r="BG29" s="1060"/>
      <c r="BH29" s="1060"/>
      <c r="BI29" s="1060"/>
      <c r="BJ29" s="1060"/>
      <c r="BK29" s="1060"/>
      <c r="BL29" s="1327"/>
      <c r="BM29" s="1327"/>
      <c r="BN29" s="1282"/>
      <c r="BO29" s="1282"/>
      <c r="BP29" s="1282"/>
      <c r="BQ29" s="1235"/>
      <c r="BV29" s="1181"/>
    </row>
    <row r="30" spans="1:74" ht="12.75" customHeight="1" x14ac:dyDescent="0.2">
      <c r="A30" s="2185" t="s">
        <v>259</v>
      </c>
      <c r="B30" s="1244"/>
      <c r="C30" s="1476">
        <v>-9</v>
      </c>
      <c r="D30" s="1056">
        <v>-6.1224489795918366E-2</v>
      </c>
      <c r="E30" s="937"/>
      <c r="F30" s="1190"/>
      <c r="G30" s="1190"/>
      <c r="H30" s="1190"/>
      <c r="I30" s="2303">
        <v>138</v>
      </c>
      <c r="J30" s="1275">
        <v>139</v>
      </c>
      <c r="K30" s="1275">
        <v>140</v>
      </c>
      <c r="L30" s="1275">
        <v>141</v>
      </c>
      <c r="M30" s="1477">
        <v>147</v>
      </c>
      <c r="N30" s="1275">
        <v>152</v>
      </c>
      <c r="O30" s="1275">
        <v>161</v>
      </c>
      <c r="P30" s="1275">
        <v>162</v>
      </c>
      <c r="Q30" s="1477">
        <v>163</v>
      </c>
      <c r="R30" s="1275">
        <v>160</v>
      </c>
      <c r="S30" s="1275">
        <v>163</v>
      </c>
      <c r="T30" s="1275">
        <v>163</v>
      </c>
      <c r="U30" s="1477">
        <v>173</v>
      </c>
      <c r="V30" s="1275">
        <v>178</v>
      </c>
      <c r="W30" s="1275">
        <v>184</v>
      </c>
      <c r="X30" s="1275">
        <v>231</v>
      </c>
      <c r="Y30" s="1477">
        <v>269</v>
      </c>
      <c r="Z30" s="2192">
        <v>280</v>
      </c>
      <c r="AA30" s="2192">
        <v>278</v>
      </c>
      <c r="AB30" s="2192">
        <v>271</v>
      </c>
      <c r="AC30" s="1059">
        <v>263</v>
      </c>
      <c r="AD30" s="2192">
        <v>271</v>
      </c>
      <c r="AE30" s="2192">
        <v>272</v>
      </c>
      <c r="AF30" s="2192">
        <v>280</v>
      </c>
      <c r="AG30" s="1059">
        <v>290</v>
      </c>
      <c r="AH30" s="2192">
        <v>303</v>
      </c>
      <c r="AI30" s="2192">
        <v>327</v>
      </c>
      <c r="AJ30" s="2192">
        <v>334</v>
      </c>
      <c r="AK30" s="1059">
        <v>335</v>
      </c>
      <c r="AL30" s="2194">
        <v>338</v>
      </c>
      <c r="AM30" s="2192">
        <v>347</v>
      </c>
      <c r="AN30" s="2192">
        <v>341</v>
      </c>
      <c r="AO30" s="1059">
        <v>354</v>
      </c>
      <c r="AP30" s="1026">
        <v>354</v>
      </c>
      <c r="AQ30" s="1026">
        <v>377</v>
      </c>
      <c r="AR30" s="1026">
        <v>378</v>
      </c>
      <c r="AS30" s="1308">
        <v>373</v>
      </c>
      <c r="AT30" s="1309">
        <v>368</v>
      </c>
      <c r="AU30" s="1308">
        <v>368</v>
      </c>
      <c r="AV30" s="1308">
        <v>371</v>
      </c>
      <c r="AW30" s="1308">
        <v>373</v>
      </c>
      <c r="AX30" s="2196"/>
      <c r="AY30" s="1462">
        <v>338</v>
      </c>
      <c r="AZ30" s="1467">
        <v>354</v>
      </c>
      <c r="BA30" s="1028">
        <v>-16</v>
      </c>
      <c r="BB30" s="2193">
        <v>-4.519774011299435E-2</v>
      </c>
      <c r="BC30" s="1467"/>
      <c r="BD30" s="1447">
        <v>139</v>
      </c>
      <c r="BE30" s="1447">
        <v>152</v>
      </c>
      <c r="BF30" s="1060">
        <v>160</v>
      </c>
      <c r="BG30" s="1060">
        <v>178</v>
      </c>
      <c r="BH30" s="1060">
        <v>280</v>
      </c>
      <c r="BI30" s="1060">
        <v>271</v>
      </c>
      <c r="BJ30" s="1060">
        <v>303</v>
      </c>
      <c r="BK30" s="1060">
        <v>338</v>
      </c>
      <c r="BL30" s="1327">
        <v>354</v>
      </c>
      <c r="BM30" s="1327">
        <v>368</v>
      </c>
      <c r="BN30" s="1282">
        <v>365</v>
      </c>
      <c r="BO30" s="1282">
        <v>343</v>
      </c>
      <c r="BP30" s="1282">
        <v>327</v>
      </c>
      <c r="BQ30" s="1235"/>
      <c r="BR30" s="2212"/>
      <c r="BV30" s="1181"/>
    </row>
    <row r="31" spans="1:74" ht="12.75" customHeight="1" x14ac:dyDescent="0.2">
      <c r="A31" s="2185" t="s">
        <v>258</v>
      </c>
      <c r="B31" s="1244"/>
      <c r="C31" s="1476">
        <v>-45</v>
      </c>
      <c r="D31" s="1056">
        <v>-0.10297482837528604</v>
      </c>
      <c r="E31" s="937"/>
      <c r="F31" s="1190"/>
      <c r="G31" s="1190"/>
      <c r="H31" s="1190"/>
      <c r="I31" s="2303">
        <v>392</v>
      </c>
      <c r="J31" s="1275">
        <v>392</v>
      </c>
      <c r="K31" s="1275">
        <v>392</v>
      </c>
      <c r="L31" s="1275">
        <v>397</v>
      </c>
      <c r="M31" s="1477">
        <v>437</v>
      </c>
      <c r="N31" s="1275">
        <v>437</v>
      </c>
      <c r="O31" s="1275">
        <v>422</v>
      </c>
      <c r="P31" s="1275">
        <v>426</v>
      </c>
      <c r="Q31" s="1477">
        <v>422</v>
      </c>
      <c r="R31" s="1275">
        <v>436</v>
      </c>
      <c r="S31" s="1275">
        <v>441</v>
      </c>
      <c r="T31" s="1275">
        <v>446</v>
      </c>
      <c r="U31" s="1477">
        <v>472</v>
      </c>
      <c r="V31" s="1275">
        <v>494</v>
      </c>
      <c r="W31" s="1275">
        <v>483</v>
      </c>
      <c r="X31" s="1275">
        <v>553</v>
      </c>
      <c r="Y31" s="1477">
        <v>604</v>
      </c>
      <c r="Z31" s="2192">
        <v>604</v>
      </c>
      <c r="AA31" s="2192">
        <v>631</v>
      </c>
      <c r="AB31" s="2192">
        <v>626</v>
      </c>
      <c r="AC31" s="1059">
        <v>628</v>
      </c>
      <c r="AD31" s="2192">
        <v>645</v>
      </c>
      <c r="AE31" s="2192">
        <v>653</v>
      </c>
      <c r="AF31" s="2192">
        <v>712</v>
      </c>
      <c r="AG31" s="1059">
        <v>684</v>
      </c>
      <c r="AH31" s="2192">
        <v>718</v>
      </c>
      <c r="AI31" s="2192">
        <v>753</v>
      </c>
      <c r="AJ31" s="2192">
        <v>763</v>
      </c>
      <c r="AK31" s="1059">
        <v>773</v>
      </c>
      <c r="AL31" s="2194">
        <v>790</v>
      </c>
      <c r="AM31" s="2192">
        <v>809</v>
      </c>
      <c r="AN31" s="2192">
        <v>818</v>
      </c>
      <c r="AO31" s="1059">
        <v>832</v>
      </c>
      <c r="AP31" s="1026">
        <v>852</v>
      </c>
      <c r="AQ31" s="1026">
        <v>859</v>
      </c>
      <c r="AR31" s="1026">
        <v>865</v>
      </c>
      <c r="AS31" s="1308">
        <v>840</v>
      </c>
      <c r="AT31" s="1309">
        <v>817</v>
      </c>
      <c r="AU31" s="1308">
        <v>797</v>
      </c>
      <c r="AV31" s="1308">
        <v>790</v>
      </c>
      <c r="AW31" s="1308">
        <v>775</v>
      </c>
      <c r="AX31" s="2196"/>
      <c r="AY31" s="1462">
        <v>790</v>
      </c>
      <c r="AZ31" s="1467">
        <v>852</v>
      </c>
      <c r="BA31" s="1028">
        <v>-62</v>
      </c>
      <c r="BB31" s="2193">
        <v>-7.2769953051643188E-2</v>
      </c>
      <c r="BC31" s="1467"/>
      <c r="BD31" s="1447">
        <v>392</v>
      </c>
      <c r="BE31" s="1447">
        <v>437</v>
      </c>
      <c r="BF31" s="1060">
        <v>436</v>
      </c>
      <c r="BG31" s="1060">
        <v>494</v>
      </c>
      <c r="BH31" s="1060">
        <v>604</v>
      </c>
      <c r="BI31" s="1060">
        <v>645</v>
      </c>
      <c r="BJ31" s="1060">
        <v>718</v>
      </c>
      <c r="BK31" s="1060">
        <v>790</v>
      </c>
      <c r="BL31" s="1327">
        <v>852</v>
      </c>
      <c r="BM31" s="1327">
        <v>817</v>
      </c>
      <c r="BN31" s="1282">
        <v>763</v>
      </c>
      <c r="BO31" s="1282">
        <v>710</v>
      </c>
      <c r="BP31" s="1282">
        <v>675</v>
      </c>
      <c r="BQ31" s="1235"/>
      <c r="BR31" s="2212"/>
      <c r="BV31" s="1181"/>
    </row>
    <row r="32" spans="1:74" ht="25.5" customHeight="1" x14ac:dyDescent="0.2">
      <c r="A32" s="2507" t="s">
        <v>416</v>
      </c>
      <c r="B32" s="2508"/>
      <c r="C32" s="1476">
        <v>6</v>
      </c>
      <c r="D32" s="1056">
        <v>5.4054054054054057E-2</v>
      </c>
      <c r="E32" s="937"/>
      <c r="F32" s="1190"/>
      <c r="G32" s="1195"/>
      <c r="H32" s="1195"/>
      <c r="I32" s="2306">
        <v>117</v>
      </c>
      <c r="J32" s="1275">
        <v>118</v>
      </c>
      <c r="K32" s="1248">
        <v>117</v>
      </c>
      <c r="L32" s="1248">
        <v>114</v>
      </c>
      <c r="M32" s="1489">
        <v>111</v>
      </c>
      <c r="N32" s="1275">
        <v>114</v>
      </c>
      <c r="O32" s="1248">
        <v>113</v>
      </c>
      <c r="P32" s="1248">
        <v>113</v>
      </c>
      <c r="Q32" s="1489">
        <v>116</v>
      </c>
      <c r="R32" s="1275">
        <v>118</v>
      </c>
      <c r="S32" s="1248">
        <v>119</v>
      </c>
      <c r="T32" s="1248">
        <v>115</v>
      </c>
      <c r="U32" s="1489">
        <v>119</v>
      </c>
      <c r="V32" s="1275">
        <v>122</v>
      </c>
      <c r="W32" s="1248">
        <v>119</v>
      </c>
      <c r="X32" s="1248">
        <v>96</v>
      </c>
      <c r="Y32" s="1489">
        <v>98</v>
      </c>
      <c r="Z32" s="2192">
        <v>106</v>
      </c>
      <c r="AA32" s="1028">
        <v>0</v>
      </c>
      <c r="AB32" s="1028">
        <v>0</v>
      </c>
      <c r="AC32" s="1059">
        <v>0</v>
      </c>
      <c r="AD32" s="1028">
        <v>0</v>
      </c>
      <c r="AE32" s="1028">
        <v>0</v>
      </c>
      <c r="AF32" s="1028">
        <v>0</v>
      </c>
      <c r="AG32" s="1059">
        <v>0</v>
      </c>
      <c r="AH32" s="1028">
        <v>0</v>
      </c>
      <c r="AI32" s="1028">
        <v>0</v>
      </c>
      <c r="AJ32" s="2192"/>
      <c r="AK32" s="1059"/>
      <c r="AL32" s="2192"/>
      <c r="AM32" s="2192"/>
      <c r="AN32" s="2192"/>
      <c r="AO32" s="1059"/>
      <c r="AP32" s="1026"/>
      <c r="AQ32" s="1026"/>
      <c r="AR32" s="1026"/>
      <c r="AS32" s="1308"/>
      <c r="AT32" s="1309"/>
      <c r="AU32" s="1308"/>
      <c r="AV32" s="1308"/>
      <c r="AW32" s="1308"/>
      <c r="AX32" s="2196"/>
      <c r="AY32" s="1462"/>
      <c r="AZ32" s="1467"/>
      <c r="BA32" s="1028"/>
      <c r="BB32" s="2193"/>
      <c r="BC32" s="1467"/>
      <c r="BD32" s="1447">
        <v>118</v>
      </c>
      <c r="BE32" s="1447">
        <v>114</v>
      </c>
      <c r="BF32" s="1060">
        <v>118</v>
      </c>
      <c r="BG32" s="1060">
        <v>122</v>
      </c>
      <c r="BH32" s="1060">
        <v>106</v>
      </c>
      <c r="BI32" s="1060">
        <v>0</v>
      </c>
      <c r="BJ32" s="1060">
        <v>0</v>
      </c>
      <c r="BK32" s="1060">
        <v>0</v>
      </c>
      <c r="BL32" s="1297">
        <v>0</v>
      </c>
      <c r="BM32" s="1327"/>
      <c r="BN32" s="1282"/>
      <c r="BO32" s="1282"/>
      <c r="BP32" s="1282"/>
      <c r="BQ32" s="1235"/>
      <c r="BR32" s="2212"/>
      <c r="BV32" s="1181"/>
    </row>
    <row r="33" spans="1:74" ht="12.75" customHeight="1" x14ac:dyDescent="0.2">
      <c r="A33" s="2185" t="s">
        <v>293</v>
      </c>
      <c r="B33" s="1244"/>
      <c r="C33" s="1476">
        <v>-2</v>
      </c>
      <c r="D33" s="1056">
        <v>-0.22222222222222221</v>
      </c>
      <c r="E33" s="937"/>
      <c r="F33" s="1190"/>
      <c r="G33" s="1190"/>
      <c r="H33" s="1190"/>
      <c r="I33" s="2303">
        <v>7</v>
      </c>
      <c r="J33" s="1275">
        <v>7</v>
      </c>
      <c r="K33" s="1275">
        <v>7</v>
      </c>
      <c r="L33" s="1275">
        <v>9</v>
      </c>
      <c r="M33" s="1477">
        <v>9</v>
      </c>
      <c r="N33" s="1275">
        <v>9</v>
      </c>
      <c r="O33" s="1275">
        <v>9</v>
      </c>
      <c r="P33" s="1275">
        <v>9</v>
      </c>
      <c r="Q33" s="1477">
        <v>9</v>
      </c>
      <c r="R33" s="1275">
        <v>9</v>
      </c>
      <c r="S33" s="1275">
        <v>9</v>
      </c>
      <c r="T33" s="1275">
        <v>8</v>
      </c>
      <c r="U33" s="1477">
        <v>7</v>
      </c>
      <c r="V33" s="1275">
        <v>12</v>
      </c>
      <c r="W33" s="1275">
        <v>11</v>
      </c>
      <c r="X33" s="1275">
        <v>11</v>
      </c>
      <c r="Y33" s="1477">
        <v>10</v>
      </c>
      <c r="Z33" s="1028">
        <v>0</v>
      </c>
      <c r="AA33" s="1028">
        <v>0</v>
      </c>
      <c r="AB33" s="1028">
        <v>0</v>
      </c>
      <c r="AC33" s="1059">
        <v>0</v>
      </c>
      <c r="AD33" s="1028">
        <v>0</v>
      </c>
      <c r="AE33" s="1028">
        <v>0</v>
      </c>
      <c r="AF33" s="1028">
        <v>0</v>
      </c>
      <c r="AG33" s="1059">
        <v>0</v>
      </c>
      <c r="AH33" s="2192"/>
      <c r="AI33" s="2192"/>
      <c r="AJ33" s="2192"/>
      <c r="AK33" s="1059"/>
      <c r="AL33" s="2194"/>
      <c r="AM33" s="2192"/>
      <c r="AN33" s="2192"/>
      <c r="AO33" s="1059"/>
      <c r="AP33" s="1026"/>
      <c r="AQ33" s="1026"/>
      <c r="AR33" s="1026"/>
      <c r="AS33" s="1308"/>
      <c r="AT33" s="1309"/>
      <c r="AU33" s="1308"/>
      <c r="AV33" s="1308"/>
      <c r="AW33" s="1308"/>
      <c r="AX33" s="2196"/>
      <c r="AY33" s="1462"/>
      <c r="AZ33" s="1467"/>
      <c r="BA33" s="1028"/>
      <c r="BB33" s="2193"/>
      <c r="BC33" s="1467"/>
      <c r="BD33" s="1447">
        <v>7</v>
      </c>
      <c r="BE33" s="1447">
        <v>9</v>
      </c>
      <c r="BF33" s="1060">
        <v>9</v>
      </c>
      <c r="BG33" s="1060">
        <v>12</v>
      </c>
      <c r="BH33" s="1060">
        <v>0</v>
      </c>
      <c r="BI33" s="1060">
        <v>0</v>
      </c>
      <c r="BJ33" s="1060">
        <v>0</v>
      </c>
      <c r="BK33" s="1060">
        <v>0</v>
      </c>
      <c r="BL33" s="1493">
        <v>0</v>
      </c>
      <c r="BM33" s="1327"/>
      <c r="BN33" s="1282"/>
      <c r="BO33" s="1282"/>
      <c r="BP33" s="1282"/>
      <c r="BQ33" s="1235"/>
      <c r="BR33" s="2212"/>
      <c r="BV33" s="1181"/>
    </row>
    <row r="34" spans="1:74" ht="12.75" customHeight="1" x14ac:dyDescent="0.2">
      <c r="A34" s="2185"/>
      <c r="B34" s="1244"/>
      <c r="C34" s="1476"/>
      <c r="D34" s="1056"/>
      <c r="E34" s="937"/>
      <c r="F34" s="1190"/>
      <c r="G34" s="1190"/>
      <c r="H34" s="1190"/>
      <c r="I34" s="2303"/>
      <c r="J34" s="1275"/>
      <c r="K34" s="1275"/>
      <c r="L34" s="1275"/>
      <c r="M34" s="1477"/>
      <c r="N34" s="1275"/>
      <c r="O34" s="1275"/>
      <c r="P34" s="1275"/>
      <c r="Q34" s="1477"/>
      <c r="R34" s="1275"/>
      <c r="S34" s="1275"/>
      <c r="T34" s="1275"/>
      <c r="U34" s="1477"/>
      <c r="V34" s="1275"/>
      <c r="W34" s="1275"/>
      <c r="X34" s="1275"/>
      <c r="Y34" s="1477"/>
      <c r="Z34" s="2192"/>
      <c r="AA34" s="2192"/>
      <c r="AB34" s="2192"/>
      <c r="AC34" s="1059"/>
      <c r="AD34" s="2192"/>
      <c r="AE34" s="2192"/>
      <c r="AF34" s="2192"/>
      <c r="AG34" s="1059"/>
      <c r="AH34" s="2192"/>
      <c r="AI34" s="2192"/>
      <c r="AJ34" s="2192"/>
      <c r="AK34" s="1059"/>
      <c r="AL34" s="2194"/>
      <c r="AM34" s="2192"/>
      <c r="AN34" s="2192"/>
      <c r="AO34" s="1059"/>
      <c r="AP34" s="1026"/>
      <c r="AQ34" s="1026"/>
      <c r="AR34" s="1026"/>
      <c r="AS34" s="1308"/>
      <c r="AT34" s="1309"/>
      <c r="AU34" s="1308"/>
      <c r="AV34" s="1308"/>
      <c r="AW34" s="1308"/>
      <c r="AX34" s="2196"/>
      <c r="AY34" s="1462"/>
      <c r="AZ34" s="1467"/>
      <c r="BA34" s="1028"/>
      <c r="BB34" s="2193"/>
      <c r="BC34" s="1467"/>
      <c r="BD34" s="1447"/>
      <c r="BE34" s="1447"/>
      <c r="BF34" s="1060"/>
      <c r="BG34" s="1060"/>
      <c r="BH34" s="1060"/>
      <c r="BI34" s="1060"/>
      <c r="BJ34" s="1060"/>
      <c r="BK34" s="1060"/>
      <c r="BL34" s="1327"/>
      <c r="BM34" s="1327"/>
      <c r="BN34" s="1282"/>
      <c r="BO34" s="1282"/>
      <c r="BP34" s="1282"/>
      <c r="BQ34" s="1235"/>
      <c r="BV34" s="1181"/>
    </row>
    <row r="35" spans="1:74" ht="12.75" customHeight="1" x14ac:dyDescent="0.2">
      <c r="A35" s="2185" t="s">
        <v>268</v>
      </c>
      <c r="B35" s="1244"/>
      <c r="C35" s="1476">
        <v>-151</v>
      </c>
      <c r="D35" s="1056">
        <v>-0.10641296687808316</v>
      </c>
      <c r="E35" s="937"/>
      <c r="F35" s="1190"/>
      <c r="G35" s="1190"/>
      <c r="H35" s="1190"/>
      <c r="I35" s="2303">
        <v>1268</v>
      </c>
      <c r="J35" s="1275">
        <v>1257</v>
      </c>
      <c r="K35" s="1275">
        <v>1262</v>
      </c>
      <c r="L35" s="1275">
        <v>1360</v>
      </c>
      <c r="M35" s="1477">
        <v>1419</v>
      </c>
      <c r="N35" s="1275">
        <v>1561</v>
      </c>
      <c r="O35" s="1275">
        <v>1441</v>
      </c>
      <c r="P35" s="1275">
        <v>1391</v>
      </c>
      <c r="Q35" s="1477">
        <v>1270</v>
      </c>
      <c r="R35" s="1275">
        <v>1204</v>
      </c>
      <c r="S35" s="1275">
        <v>1070</v>
      </c>
      <c r="T35" s="1275">
        <v>935</v>
      </c>
      <c r="U35" s="1477">
        <v>880</v>
      </c>
      <c r="V35" s="1275">
        <v>835</v>
      </c>
      <c r="W35" s="1275">
        <v>791</v>
      </c>
      <c r="X35" s="1275">
        <v>784</v>
      </c>
      <c r="Y35" s="1477">
        <v>709</v>
      </c>
      <c r="Z35" s="2192">
        <v>677</v>
      </c>
      <c r="AA35" s="2192">
        <v>607</v>
      </c>
      <c r="AB35" s="2192">
        <v>574</v>
      </c>
      <c r="AC35" s="1059">
        <v>575</v>
      </c>
      <c r="AD35" s="2192">
        <v>546</v>
      </c>
      <c r="AE35" s="2192">
        <v>514</v>
      </c>
      <c r="AF35" s="2192">
        <v>473</v>
      </c>
      <c r="AG35" s="1059">
        <v>431</v>
      </c>
      <c r="AH35" s="2192">
        <v>445</v>
      </c>
      <c r="AI35" s="2192"/>
      <c r="AJ35" s="2192"/>
      <c r="AK35" s="1059"/>
      <c r="AL35" s="2192"/>
      <c r="AM35" s="2192"/>
      <c r="AN35" s="2192"/>
      <c r="AO35" s="1059"/>
      <c r="AP35" s="1026"/>
      <c r="AQ35" s="1026"/>
      <c r="AR35" s="1026"/>
      <c r="AS35" s="1308"/>
      <c r="AT35" s="1309"/>
      <c r="AU35" s="1308"/>
      <c r="AV35" s="1308"/>
      <c r="AW35" s="1308"/>
      <c r="AX35" s="2196"/>
      <c r="AY35" s="1462"/>
      <c r="AZ35" s="1467"/>
      <c r="BA35" s="1028"/>
      <c r="BB35" s="2193"/>
      <c r="BC35" s="1467"/>
      <c r="BD35" s="1447">
        <v>1257</v>
      </c>
      <c r="BE35" s="1447">
        <v>1561</v>
      </c>
      <c r="BF35" s="1060">
        <v>1204</v>
      </c>
      <c r="BG35" s="1060">
        <v>835</v>
      </c>
      <c r="BH35" s="1060">
        <v>677</v>
      </c>
      <c r="BI35" s="1060">
        <v>546</v>
      </c>
      <c r="BJ35" s="1060">
        <v>445</v>
      </c>
      <c r="BK35" s="1060">
        <v>393</v>
      </c>
      <c r="BL35" s="1327">
        <v>730</v>
      </c>
      <c r="BM35" s="1327"/>
      <c r="BN35" s="1282"/>
      <c r="BO35" s="1282"/>
      <c r="BP35" s="1282"/>
      <c r="BQ35" s="1235"/>
      <c r="BV35" s="1181"/>
    </row>
    <row r="36" spans="1:74" s="1211" customFormat="1" ht="12.75" customHeight="1" x14ac:dyDescent="0.2">
      <c r="A36" s="2186" t="s">
        <v>436</v>
      </c>
      <c r="B36" s="2187"/>
      <c r="C36" s="1476">
        <v>-831</v>
      </c>
      <c r="D36" s="1056">
        <v>-7.804282494365139E-2</v>
      </c>
      <c r="E36" s="947"/>
      <c r="F36" s="2180"/>
      <c r="G36" s="2180"/>
      <c r="H36" s="2180"/>
      <c r="I36" s="2303">
        <v>9817</v>
      </c>
      <c r="J36" s="2197">
        <v>9192</v>
      </c>
      <c r="K36" s="2197">
        <v>9035</v>
      </c>
      <c r="L36" s="2197">
        <v>9481</v>
      </c>
      <c r="M36" s="1477">
        <v>10648</v>
      </c>
      <c r="N36" s="2197">
        <v>10729</v>
      </c>
      <c r="O36" s="2197">
        <v>10310</v>
      </c>
      <c r="P36" s="2197">
        <v>10757</v>
      </c>
      <c r="Q36" s="1477">
        <v>10958</v>
      </c>
      <c r="R36" s="2197">
        <v>10160</v>
      </c>
      <c r="S36" s="2197">
        <v>9536</v>
      </c>
      <c r="T36" s="2197">
        <v>9427</v>
      </c>
      <c r="U36" s="1477">
        <v>9325</v>
      </c>
      <c r="V36" s="2197">
        <v>10429</v>
      </c>
      <c r="W36" s="2197">
        <v>11403</v>
      </c>
      <c r="X36" s="2197">
        <v>13344</v>
      </c>
      <c r="Y36" s="1477">
        <v>13137</v>
      </c>
      <c r="Z36" s="2198">
        <v>14828</v>
      </c>
      <c r="AA36" s="2198">
        <v>14367</v>
      </c>
      <c r="AB36" s="2198">
        <v>14635</v>
      </c>
      <c r="AC36" s="1059">
        <v>15676</v>
      </c>
      <c r="AD36" s="2198">
        <v>16985</v>
      </c>
      <c r="AE36" s="2198">
        <v>16006</v>
      </c>
      <c r="AF36" s="2198">
        <v>13895</v>
      </c>
      <c r="AG36" s="1059">
        <v>12571</v>
      </c>
      <c r="AH36" s="2198">
        <v>12922</v>
      </c>
      <c r="AI36" s="2198">
        <v>12210</v>
      </c>
      <c r="AJ36" s="2198">
        <v>11386</v>
      </c>
      <c r="AK36" s="1059">
        <v>10341</v>
      </c>
      <c r="AL36" s="2198">
        <v>9184</v>
      </c>
      <c r="AM36" s="2198">
        <v>9030</v>
      </c>
      <c r="AN36" s="2198">
        <v>11584</v>
      </c>
      <c r="AO36" s="1059">
        <v>14695</v>
      </c>
      <c r="AP36" s="1026">
        <v>14295</v>
      </c>
      <c r="AQ36" s="1026">
        <v>14860</v>
      </c>
      <c r="AR36" s="1026">
        <v>15288</v>
      </c>
      <c r="AS36" s="1308">
        <v>15701</v>
      </c>
      <c r="AT36" s="1309">
        <v>15014</v>
      </c>
      <c r="AU36" s="1308">
        <v>14121</v>
      </c>
      <c r="AV36" s="1308">
        <v>13826</v>
      </c>
      <c r="AW36" s="1308">
        <v>13942</v>
      </c>
      <c r="AX36" s="2199"/>
      <c r="AY36" s="1462">
        <v>9184</v>
      </c>
      <c r="AZ36" s="1467">
        <v>14295</v>
      </c>
      <c r="BA36" s="1028">
        <v>-5111</v>
      </c>
      <c r="BB36" s="2193">
        <v>-0.35753760055963624</v>
      </c>
      <c r="BC36" s="2198"/>
      <c r="BD36" s="1447">
        <v>9192</v>
      </c>
      <c r="BE36" s="1447">
        <v>10729</v>
      </c>
      <c r="BF36" s="1060">
        <v>10160</v>
      </c>
      <c r="BG36" s="1060">
        <v>10429</v>
      </c>
      <c r="BH36" s="1060">
        <v>14828</v>
      </c>
      <c r="BI36" s="1060">
        <v>16985</v>
      </c>
      <c r="BJ36" s="1060">
        <v>12922</v>
      </c>
      <c r="BK36" s="1060">
        <v>9184</v>
      </c>
      <c r="BL36" s="1327">
        <v>14295</v>
      </c>
      <c r="BM36" s="1327">
        <v>15014</v>
      </c>
      <c r="BN36" s="1282">
        <v>14310</v>
      </c>
      <c r="BO36" s="1282">
        <v>9967</v>
      </c>
      <c r="BP36" s="1282">
        <v>8292</v>
      </c>
      <c r="BQ36" s="1239"/>
      <c r="BR36" s="2210"/>
      <c r="BV36" s="1402"/>
    </row>
    <row r="37" spans="1:74" s="1211" customFormat="1" ht="12.75" customHeight="1" x14ac:dyDescent="0.2">
      <c r="A37" s="2186" t="s">
        <v>276</v>
      </c>
      <c r="B37" s="2187"/>
      <c r="C37" s="1476">
        <v>-403</v>
      </c>
      <c r="D37" s="1056">
        <v>-1.7665366238548197E-2</v>
      </c>
      <c r="E37" s="947"/>
      <c r="F37" s="2180"/>
      <c r="G37" s="1195"/>
      <c r="H37" s="1195"/>
      <c r="I37" s="2306">
        <v>22410</v>
      </c>
      <c r="J37" s="2197">
        <v>22791</v>
      </c>
      <c r="K37" s="1248">
        <v>24530</v>
      </c>
      <c r="L37" s="1248">
        <v>22948</v>
      </c>
      <c r="M37" s="1489">
        <v>22813</v>
      </c>
      <c r="N37" s="2197">
        <v>21763</v>
      </c>
      <c r="O37" s="1248">
        <v>20307</v>
      </c>
      <c r="P37" s="1248">
        <v>20420</v>
      </c>
      <c r="Q37" s="1489">
        <v>20486</v>
      </c>
      <c r="R37" s="2197">
        <v>20156</v>
      </c>
      <c r="S37" s="1248">
        <v>18984</v>
      </c>
      <c r="T37" s="1248">
        <v>17655</v>
      </c>
      <c r="U37" s="1489">
        <v>16125</v>
      </c>
      <c r="V37" s="2197">
        <v>15936</v>
      </c>
      <c r="W37" s="1248">
        <v>15228</v>
      </c>
      <c r="X37" s="1248">
        <v>13122</v>
      </c>
      <c r="Y37" s="1489">
        <v>12583</v>
      </c>
      <c r="Z37" s="2198">
        <v>13087.2</v>
      </c>
      <c r="AA37" s="1028">
        <v>0</v>
      </c>
      <c r="AB37" s="1028">
        <v>0</v>
      </c>
      <c r="AC37" s="1059">
        <v>0</v>
      </c>
      <c r="AD37" s="1028">
        <v>0</v>
      </c>
      <c r="AE37" s="1028">
        <v>0</v>
      </c>
      <c r="AF37" s="1028">
        <v>0</v>
      </c>
      <c r="AG37" s="1059">
        <v>0</v>
      </c>
      <c r="AH37" s="1028">
        <v>0</v>
      </c>
      <c r="AI37" s="1028">
        <v>0</v>
      </c>
      <c r="AJ37" s="2192"/>
      <c r="AK37" s="1059"/>
      <c r="AL37" s="2192"/>
      <c r="AM37" s="2192"/>
      <c r="AN37" s="2192"/>
      <c r="AO37" s="1059"/>
      <c r="AP37" s="1026"/>
      <c r="AQ37" s="1026"/>
      <c r="AR37" s="1026"/>
      <c r="AS37" s="1308"/>
      <c r="AT37" s="1309"/>
      <c r="AU37" s="1308"/>
      <c r="AV37" s="1308"/>
      <c r="AW37" s="1308"/>
      <c r="AX37" s="2196"/>
      <c r="AY37" s="1462"/>
      <c r="AZ37" s="1467"/>
      <c r="BA37" s="1028"/>
      <c r="BB37" s="2193"/>
      <c r="BC37" s="1467"/>
      <c r="BD37" s="1447">
        <v>22791</v>
      </c>
      <c r="BE37" s="1447">
        <v>21763</v>
      </c>
      <c r="BF37" s="1060">
        <v>20156</v>
      </c>
      <c r="BG37" s="1060">
        <v>15936</v>
      </c>
      <c r="BH37" s="1060">
        <v>13087.2</v>
      </c>
      <c r="BI37" s="1060">
        <v>0</v>
      </c>
      <c r="BJ37" s="1060">
        <v>0</v>
      </c>
      <c r="BK37" s="1060">
        <v>0</v>
      </c>
      <c r="BL37" s="1297">
        <v>0</v>
      </c>
      <c r="BM37" s="1327">
        <v>807</v>
      </c>
      <c r="BN37" s="1282">
        <v>613</v>
      </c>
      <c r="BO37" s="1282">
        <v>380</v>
      </c>
      <c r="BP37" s="1282">
        <v>237</v>
      </c>
      <c r="BQ37" s="1239"/>
      <c r="BR37" s="2210"/>
      <c r="BV37" s="1402"/>
    </row>
    <row r="38" spans="1:74" s="1211" customFormat="1" ht="12.75" customHeight="1" x14ac:dyDescent="0.2">
      <c r="A38" s="2186" t="s">
        <v>403</v>
      </c>
      <c r="B38" s="2187"/>
      <c r="C38" s="1476">
        <v>-61</v>
      </c>
      <c r="D38" s="1056">
        <v>-7.5965130759651306E-2</v>
      </c>
      <c r="E38" s="947"/>
      <c r="F38" s="2180"/>
      <c r="G38" s="1195"/>
      <c r="H38" s="1195"/>
      <c r="I38" s="2306">
        <v>742</v>
      </c>
      <c r="J38" s="2197">
        <v>731</v>
      </c>
      <c r="K38" s="1248">
        <v>816</v>
      </c>
      <c r="L38" s="1248">
        <v>790</v>
      </c>
      <c r="M38" s="1489">
        <v>803</v>
      </c>
      <c r="N38" s="2197">
        <v>836</v>
      </c>
      <c r="O38" s="1248">
        <v>634</v>
      </c>
      <c r="P38" s="1248">
        <v>569</v>
      </c>
      <c r="Q38" s="1489">
        <v>631</v>
      </c>
      <c r="R38" s="2197">
        <v>555</v>
      </c>
      <c r="S38" s="1248">
        <v>463</v>
      </c>
      <c r="T38" s="1248">
        <v>411</v>
      </c>
      <c r="U38" s="1489">
        <v>360</v>
      </c>
      <c r="V38" s="2197">
        <v>451</v>
      </c>
      <c r="W38" s="1248">
        <v>408</v>
      </c>
      <c r="X38" s="1248">
        <v>354</v>
      </c>
      <c r="Y38" s="1489">
        <v>305.20875765857699</v>
      </c>
      <c r="Z38" s="1028">
        <v>0</v>
      </c>
      <c r="AA38" s="1028">
        <v>0</v>
      </c>
      <c r="AB38" s="1028">
        <v>0</v>
      </c>
      <c r="AC38" s="1059">
        <v>0</v>
      </c>
      <c r="AD38" s="1028">
        <v>0</v>
      </c>
      <c r="AE38" s="1028">
        <v>0</v>
      </c>
      <c r="AF38" s="1028">
        <v>0</v>
      </c>
      <c r="AG38" s="1059">
        <v>0</v>
      </c>
      <c r="AH38" s="1028"/>
      <c r="AI38" s="1028"/>
      <c r="AJ38" s="2192"/>
      <c r="AK38" s="1059"/>
      <c r="AL38" s="2192"/>
      <c r="AM38" s="2192"/>
      <c r="AN38" s="2192"/>
      <c r="AO38" s="1059"/>
      <c r="AP38" s="1026"/>
      <c r="AQ38" s="1026"/>
      <c r="AR38" s="1026"/>
      <c r="AS38" s="1308"/>
      <c r="AT38" s="1309"/>
      <c r="AU38" s="1308"/>
      <c r="AV38" s="1308"/>
      <c r="AW38" s="1308"/>
      <c r="AX38" s="2196"/>
      <c r="AY38" s="1462"/>
      <c r="AZ38" s="1467"/>
      <c r="BA38" s="1028"/>
      <c r="BB38" s="2193"/>
      <c r="BC38" s="1467"/>
      <c r="BD38" s="1447">
        <v>731</v>
      </c>
      <c r="BE38" s="1447">
        <v>836</v>
      </c>
      <c r="BF38" s="1060">
        <v>555</v>
      </c>
      <c r="BG38" s="1060">
        <v>451</v>
      </c>
      <c r="BH38" s="1060">
        <v>0</v>
      </c>
      <c r="BI38" s="1060">
        <v>0</v>
      </c>
      <c r="BJ38" s="1060">
        <v>0</v>
      </c>
      <c r="BK38" s="1060">
        <v>0</v>
      </c>
      <c r="BL38" s="1493">
        <v>0</v>
      </c>
      <c r="BM38" s="1327"/>
      <c r="BN38" s="1282"/>
      <c r="BO38" s="1282"/>
      <c r="BP38" s="1282"/>
      <c r="BQ38" s="1239"/>
      <c r="BR38" s="2210"/>
      <c r="BV38" s="1402"/>
    </row>
    <row r="39" spans="1:74" s="1211" customFormat="1" ht="12.75" customHeight="1" x14ac:dyDescent="0.2">
      <c r="A39" s="2186" t="s">
        <v>271</v>
      </c>
      <c r="B39" s="2187"/>
      <c r="C39" s="1476">
        <v>-1295</v>
      </c>
      <c r="D39" s="1056">
        <v>-3.7794770021013308E-2</v>
      </c>
      <c r="E39" s="947"/>
      <c r="F39" s="1400">
        <v>0</v>
      </c>
      <c r="G39" s="1400">
        <v>0</v>
      </c>
      <c r="H39" s="1400">
        <v>0</v>
      </c>
      <c r="I39" s="2306">
        <v>32969</v>
      </c>
      <c r="J39" s="1478">
        <v>32714</v>
      </c>
      <c r="K39" s="1478">
        <v>34381</v>
      </c>
      <c r="L39" s="1478">
        <v>33219</v>
      </c>
      <c r="M39" s="1489">
        <v>34264</v>
      </c>
      <c r="N39" s="2197">
        <v>33328</v>
      </c>
      <c r="O39" s="2197">
        <v>31251</v>
      </c>
      <c r="P39" s="2197">
        <v>31746</v>
      </c>
      <c r="Q39" s="1477">
        <v>32075</v>
      </c>
      <c r="R39" s="2197">
        <v>30871</v>
      </c>
      <c r="S39" s="2197">
        <v>28983</v>
      </c>
      <c r="T39" s="2197">
        <v>27493</v>
      </c>
      <c r="U39" s="1477">
        <v>25810</v>
      </c>
      <c r="V39" s="2197">
        <v>26816</v>
      </c>
      <c r="W39" s="2197">
        <v>27039</v>
      </c>
      <c r="X39" s="2197">
        <v>26820</v>
      </c>
      <c r="Y39" s="1477">
        <v>26025.208757658576</v>
      </c>
      <c r="Z39" s="2197">
        <v>27915.200000000001</v>
      </c>
      <c r="AA39" s="2197">
        <v>14367</v>
      </c>
      <c r="AB39" s="2197">
        <v>14635</v>
      </c>
      <c r="AC39" s="1477">
        <v>15676</v>
      </c>
      <c r="AD39" s="2197">
        <v>16985</v>
      </c>
      <c r="AE39" s="2197">
        <v>16006</v>
      </c>
      <c r="AF39" s="2197">
        <v>13895</v>
      </c>
      <c r="AG39" s="1477">
        <v>12571</v>
      </c>
      <c r="AH39" s="2197">
        <v>12922</v>
      </c>
      <c r="AI39" s="2197">
        <v>12210</v>
      </c>
      <c r="AJ39" s="2197">
        <v>34.08982035928144</v>
      </c>
      <c r="AK39" s="1477">
        <v>30.86865671641791</v>
      </c>
      <c r="AL39" s="2197">
        <v>27</v>
      </c>
      <c r="AM39" s="2197">
        <v>26</v>
      </c>
      <c r="AN39" s="2197">
        <v>33.970674486803517</v>
      </c>
      <c r="AO39" s="1477">
        <v>41.511299435028249</v>
      </c>
      <c r="AP39" s="1310">
        <v>40</v>
      </c>
      <c r="AQ39" s="1310">
        <v>39</v>
      </c>
      <c r="AR39" s="1310">
        <v>40</v>
      </c>
      <c r="AS39" s="1326">
        <v>42</v>
      </c>
      <c r="AT39" s="1313">
        <v>41</v>
      </c>
      <c r="AU39" s="1326">
        <v>38</v>
      </c>
      <c r="AV39" s="1326">
        <v>37</v>
      </c>
      <c r="AW39" s="1326">
        <v>37</v>
      </c>
      <c r="AX39" s="2200"/>
      <c r="AY39" s="2201">
        <v>9184</v>
      </c>
      <c r="AZ39" s="2030">
        <v>14295</v>
      </c>
      <c r="BA39" s="1478">
        <v>-5111</v>
      </c>
      <c r="BB39" s="1056">
        <v>-0.35753760055963624</v>
      </c>
      <c r="BC39" s="2197"/>
      <c r="BD39" s="1447">
        <v>32714</v>
      </c>
      <c r="BE39" s="1447">
        <v>33328</v>
      </c>
      <c r="BF39" s="1447">
        <v>30871</v>
      </c>
      <c r="BG39" s="1447">
        <v>26816</v>
      </c>
      <c r="BH39" s="1447">
        <v>27915.200000000001</v>
      </c>
      <c r="BI39" s="1447">
        <v>16985</v>
      </c>
      <c r="BJ39" s="1447">
        <v>12922</v>
      </c>
      <c r="BK39" s="1447">
        <v>9184</v>
      </c>
      <c r="BL39" s="1447">
        <v>14295</v>
      </c>
      <c r="BM39" s="1327">
        <v>41</v>
      </c>
      <c r="BN39" s="1282">
        <v>39</v>
      </c>
      <c r="BO39" s="1282">
        <v>29</v>
      </c>
      <c r="BP39" s="1282">
        <v>25</v>
      </c>
      <c r="BQ39" s="1239"/>
      <c r="BR39" s="2210"/>
      <c r="BV39" s="1402"/>
    </row>
    <row r="40" spans="1:74" s="1211" customFormat="1" x14ac:dyDescent="0.2">
      <c r="A40" s="2185"/>
      <c r="B40" s="1244"/>
      <c r="C40" s="1476"/>
      <c r="D40" s="1056"/>
      <c r="E40" s="947"/>
      <c r="F40" s="2180"/>
      <c r="G40" s="2180"/>
      <c r="H40" s="2180"/>
      <c r="I40" s="2369"/>
      <c r="J40" s="2197"/>
      <c r="K40" s="2197"/>
      <c r="L40" s="2197"/>
      <c r="M40" s="2202"/>
      <c r="N40" s="2197"/>
      <c r="O40" s="2197"/>
      <c r="P40" s="2197"/>
      <c r="Q40" s="2202"/>
      <c r="R40" s="2197"/>
      <c r="S40" s="2197"/>
      <c r="T40" s="2197"/>
      <c r="U40" s="2202"/>
      <c r="V40" s="2197"/>
      <c r="W40" s="2197"/>
      <c r="X40" s="2197"/>
      <c r="Y40" s="2202"/>
      <c r="Z40" s="2197"/>
      <c r="AA40" s="2197"/>
      <c r="AB40" s="2197"/>
      <c r="AC40" s="2202"/>
      <c r="AD40" s="1322"/>
      <c r="AE40" s="2197"/>
      <c r="AF40" s="2197"/>
      <c r="AG40" s="2202"/>
      <c r="AH40" s="1322"/>
      <c r="AI40" s="2197"/>
      <c r="AJ40" s="2197"/>
      <c r="AK40" s="2202"/>
      <c r="AL40" s="1057"/>
      <c r="AM40" s="2197"/>
      <c r="AN40" s="2197"/>
      <c r="AO40" s="2202"/>
      <c r="AP40" s="1310"/>
      <c r="AQ40" s="1310"/>
      <c r="AR40" s="1310"/>
      <c r="AS40" s="1326"/>
      <c r="AT40" s="1313"/>
      <c r="AU40" s="1326"/>
      <c r="AV40" s="1326"/>
      <c r="AW40" s="1326"/>
      <c r="AX40" s="2200"/>
      <c r="AY40" s="2201"/>
      <c r="AZ40" s="2030"/>
      <c r="BA40" s="1478"/>
      <c r="BB40" s="1056"/>
      <c r="BC40" s="2197"/>
      <c r="BD40" s="1447"/>
      <c r="BE40" s="1447"/>
      <c r="BF40" s="1447"/>
      <c r="BG40" s="1447"/>
      <c r="BH40" s="1447"/>
      <c r="BI40" s="1447"/>
      <c r="BJ40" s="1447"/>
      <c r="BK40" s="1447"/>
      <c r="BL40" s="1327"/>
      <c r="BM40" s="1327"/>
      <c r="BN40" s="1282"/>
      <c r="BO40" s="1282"/>
      <c r="BP40" s="1282"/>
      <c r="BQ40" s="1239"/>
      <c r="BR40" s="2210"/>
      <c r="BV40" s="1402"/>
    </row>
    <row r="41" spans="1:74" s="1211" customFormat="1" ht="24" customHeight="1" x14ac:dyDescent="0.2">
      <c r="A41" s="2503" t="s">
        <v>192</v>
      </c>
      <c r="B41" s="2504"/>
      <c r="C41" s="1476"/>
      <c r="D41" s="1056"/>
      <c r="E41" s="947"/>
      <c r="F41" s="2180"/>
      <c r="G41" s="2180"/>
      <c r="H41" s="2180"/>
      <c r="I41" s="2369"/>
      <c r="J41" s="2197"/>
      <c r="K41" s="2197"/>
      <c r="L41" s="2197"/>
      <c r="M41" s="2202"/>
      <c r="N41" s="2197"/>
      <c r="O41" s="2197"/>
      <c r="P41" s="2197"/>
      <c r="Q41" s="2202"/>
      <c r="R41" s="2197"/>
      <c r="S41" s="2197"/>
      <c r="T41" s="2197"/>
      <c r="U41" s="2202"/>
      <c r="V41" s="2197"/>
      <c r="W41" s="2197"/>
      <c r="X41" s="2197"/>
      <c r="Y41" s="2202"/>
      <c r="Z41" s="2197"/>
      <c r="AA41" s="2197"/>
      <c r="AB41" s="2197"/>
      <c r="AC41" s="2202"/>
      <c r="AD41" s="1057"/>
      <c r="AE41" s="2197"/>
      <c r="AF41" s="2197"/>
      <c r="AG41" s="2202"/>
      <c r="AH41" s="1057"/>
      <c r="AI41" s="2197"/>
      <c r="AJ41" s="2197"/>
      <c r="AK41" s="2202"/>
      <c r="AL41" s="1057"/>
      <c r="AM41" s="2197"/>
      <c r="AN41" s="2197"/>
      <c r="AO41" s="2202"/>
      <c r="AP41" s="1310"/>
      <c r="AQ41" s="1310"/>
      <c r="AR41" s="1310"/>
      <c r="AS41" s="1326"/>
      <c r="AT41" s="1313"/>
      <c r="AU41" s="1326"/>
      <c r="AV41" s="1326"/>
      <c r="AW41" s="1326"/>
      <c r="AX41" s="2200"/>
      <c r="AY41" s="2201"/>
      <c r="AZ41" s="2030"/>
      <c r="BA41" s="1478"/>
      <c r="BB41" s="1056"/>
      <c r="BC41" s="2197"/>
      <c r="BD41" s="1447"/>
      <c r="BE41" s="1447"/>
      <c r="BF41" s="1447"/>
      <c r="BG41" s="1447"/>
      <c r="BH41" s="1447"/>
      <c r="BI41" s="1447"/>
      <c r="BJ41" s="1447"/>
      <c r="BK41" s="1447"/>
      <c r="BL41" s="1327"/>
      <c r="BM41" s="1327"/>
      <c r="BN41" s="1282"/>
      <c r="BO41" s="1282"/>
      <c r="BP41" s="1282"/>
      <c r="BQ41" s="1239"/>
      <c r="BR41" s="2210"/>
      <c r="BV41" s="1402"/>
    </row>
    <row r="42" spans="1:74" s="1211" customFormat="1" x14ac:dyDescent="0.2">
      <c r="A42" s="2185"/>
      <c r="B42" s="1244" t="s">
        <v>110</v>
      </c>
      <c r="C42" s="1476">
        <v>-4</v>
      </c>
      <c r="D42" s="1056">
        <v>-7.5471698113207544E-2</v>
      </c>
      <c r="E42" s="947"/>
      <c r="F42" s="2180"/>
      <c r="G42" s="2180"/>
      <c r="H42" s="2307"/>
      <c r="I42" s="2291">
        <v>49</v>
      </c>
      <c r="J42" s="2197">
        <v>67</v>
      </c>
      <c r="K42" s="2197">
        <v>36</v>
      </c>
      <c r="L42" s="1497">
        <v>51</v>
      </c>
      <c r="M42" s="1326">
        <v>53</v>
      </c>
      <c r="N42" s="2197">
        <v>53</v>
      </c>
      <c r="O42" s="2197">
        <v>55</v>
      </c>
      <c r="P42" s="2197">
        <v>53</v>
      </c>
      <c r="Q42" s="1326">
        <v>48</v>
      </c>
      <c r="R42" s="2197">
        <v>52</v>
      </c>
      <c r="S42" s="2197">
        <v>53</v>
      </c>
      <c r="T42" s="2197">
        <v>55</v>
      </c>
      <c r="U42" s="1326">
        <v>57</v>
      </c>
      <c r="V42" s="2197">
        <v>55</v>
      </c>
      <c r="W42" s="2197">
        <v>61</v>
      </c>
      <c r="X42" s="2197">
        <v>71</v>
      </c>
      <c r="Y42" s="1326">
        <v>75</v>
      </c>
      <c r="Z42" s="2197">
        <v>52</v>
      </c>
      <c r="AA42" s="2197">
        <v>31</v>
      </c>
      <c r="AB42" s="2197">
        <v>29</v>
      </c>
      <c r="AC42" s="1326">
        <v>29</v>
      </c>
      <c r="AD42" s="2197">
        <v>26</v>
      </c>
      <c r="AE42" s="2197">
        <v>24</v>
      </c>
      <c r="AF42" s="2197">
        <v>20</v>
      </c>
      <c r="AG42" s="1326">
        <v>23</v>
      </c>
      <c r="AH42" s="2197">
        <v>23</v>
      </c>
      <c r="AI42" s="2197">
        <v>23</v>
      </c>
      <c r="AJ42" s="2197">
        <v>9</v>
      </c>
      <c r="AK42" s="1326">
        <v>9</v>
      </c>
      <c r="AL42" s="2197">
        <v>9</v>
      </c>
      <c r="AM42" s="2197">
        <v>7</v>
      </c>
      <c r="AN42" s="2197">
        <v>5</v>
      </c>
      <c r="AO42" s="1326">
        <v>5</v>
      </c>
      <c r="AP42" s="1310">
        <v>5</v>
      </c>
      <c r="AQ42" s="1310">
        <v>4</v>
      </c>
      <c r="AR42" s="1310">
        <v>4</v>
      </c>
      <c r="AS42" s="1326">
        <v>3</v>
      </c>
      <c r="AT42" s="1313">
        <v>1</v>
      </c>
      <c r="AU42" s="1326">
        <v>2</v>
      </c>
      <c r="AV42" s="1326">
        <v>2</v>
      </c>
      <c r="AW42" s="1326">
        <v>1</v>
      </c>
      <c r="AX42" s="2200"/>
      <c r="AY42" s="2201">
        <v>9</v>
      </c>
      <c r="AZ42" s="2030">
        <v>5</v>
      </c>
      <c r="BA42" s="1478">
        <v>4</v>
      </c>
      <c r="BB42" s="1056">
        <v>0.8</v>
      </c>
      <c r="BC42" s="2197"/>
      <c r="BD42" s="1447">
        <v>67</v>
      </c>
      <c r="BE42" s="1447">
        <v>53</v>
      </c>
      <c r="BF42" s="1447">
        <v>52</v>
      </c>
      <c r="BG42" s="1447">
        <v>55</v>
      </c>
      <c r="BH42" s="1447">
        <v>52</v>
      </c>
      <c r="BI42" s="1447">
        <v>26</v>
      </c>
      <c r="BJ42" s="1447">
        <v>23</v>
      </c>
      <c r="BK42" s="1447">
        <v>9</v>
      </c>
      <c r="BL42" s="1327">
        <v>5</v>
      </c>
      <c r="BM42" s="1327">
        <v>1</v>
      </c>
      <c r="BN42" s="1282">
        <v>1</v>
      </c>
      <c r="BO42" s="1282">
        <v>6</v>
      </c>
      <c r="BP42" s="1282">
        <v>5</v>
      </c>
      <c r="BQ42" s="1239"/>
      <c r="BR42" s="2211"/>
      <c r="BS42" s="2181"/>
      <c r="BT42" s="2181"/>
      <c r="BU42" s="2181"/>
      <c r="BV42" s="1407"/>
    </row>
    <row r="43" spans="1:74" s="1211" customFormat="1" x14ac:dyDescent="0.2">
      <c r="A43" s="2185"/>
      <c r="B43" s="1244" t="s">
        <v>111</v>
      </c>
      <c r="C43" s="1476">
        <v>-12</v>
      </c>
      <c r="D43" s="1056">
        <v>-0.29268292682926828</v>
      </c>
      <c r="E43" s="937"/>
      <c r="F43" s="1190"/>
      <c r="G43" s="1190"/>
      <c r="H43" s="2307"/>
      <c r="I43" s="2283">
        <v>29</v>
      </c>
      <c r="J43" s="1275">
        <v>32</v>
      </c>
      <c r="K43" s="1275">
        <v>28</v>
      </c>
      <c r="L43" s="1497">
        <v>37</v>
      </c>
      <c r="M43" s="1276">
        <v>41</v>
      </c>
      <c r="N43" s="1275">
        <v>40</v>
      </c>
      <c r="O43" s="1275">
        <v>41</v>
      </c>
      <c r="P43" s="1275">
        <v>42</v>
      </c>
      <c r="Q43" s="1276">
        <v>42</v>
      </c>
      <c r="R43" s="1275">
        <v>43</v>
      </c>
      <c r="S43" s="1275">
        <v>46</v>
      </c>
      <c r="T43" s="1275">
        <v>50</v>
      </c>
      <c r="U43" s="1276">
        <v>51</v>
      </c>
      <c r="V43" s="1275">
        <v>56</v>
      </c>
      <c r="W43" s="1275">
        <v>62</v>
      </c>
      <c r="X43" s="1275">
        <v>65</v>
      </c>
      <c r="Y43" s="1276">
        <v>68</v>
      </c>
      <c r="Z43" s="1275">
        <v>77</v>
      </c>
      <c r="AA43" s="1275">
        <v>48</v>
      </c>
      <c r="AB43" s="1275">
        <v>41</v>
      </c>
      <c r="AC43" s="1276">
        <v>41</v>
      </c>
      <c r="AD43" s="1275">
        <v>39</v>
      </c>
      <c r="AE43" s="1275">
        <v>35</v>
      </c>
      <c r="AF43" s="1275">
        <v>37</v>
      </c>
      <c r="AG43" s="1276">
        <v>39</v>
      </c>
      <c r="AH43" s="1275">
        <v>43</v>
      </c>
      <c r="AI43" s="1275">
        <v>45</v>
      </c>
      <c r="AJ43" s="1275">
        <v>44</v>
      </c>
      <c r="AK43" s="1276">
        <v>49</v>
      </c>
      <c r="AL43" s="1275">
        <v>51</v>
      </c>
      <c r="AM43" s="1275">
        <v>55</v>
      </c>
      <c r="AN43" s="1275">
        <v>55</v>
      </c>
      <c r="AO43" s="1276">
        <v>58</v>
      </c>
      <c r="AP43" s="1310">
        <v>60</v>
      </c>
      <c r="AQ43" s="1310">
        <v>60</v>
      </c>
      <c r="AR43" s="1310">
        <v>58</v>
      </c>
      <c r="AS43" s="1326">
        <v>57</v>
      </c>
      <c r="AT43" s="1313">
        <v>58</v>
      </c>
      <c r="AU43" s="1326">
        <v>60</v>
      </c>
      <c r="AV43" s="1326">
        <v>60</v>
      </c>
      <c r="AW43" s="1326">
        <v>61</v>
      </c>
      <c r="AX43" s="1466"/>
      <c r="AY43" s="2201">
        <v>51</v>
      </c>
      <c r="AZ43" s="2030">
        <v>60</v>
      </c>
      <c r="BA43" s="1478">
        <v>-9</v>
      </c>
      <c r="BB43" s="1056">
        <v>-0.15</v>
      </c>
      <c r="BC43" s="2030"/>
      <c r="BD43" s="1447">
        <v>32</v>
      </c>
      <c r="BE43" s="1447">
        <v>40</v>
      </c>
      <c r="BF43" s="1447">
        <v>43</v>
      </c>
      <c r="BG43" s="1447">
        <v>56</v>
      </c>
      <c r="BH43" s="1447">
        <v>77</v>
      </c>
      <c r="BI43" s="1447">
        <v>39</v>
      </c>
      <c r="BJ43" s="1447">
        <v>43</v>
      </c>
      <c r="BK43" s="1447">
        <v>51</v>
      </c>
      <c r="BL43" s="1327">
        <v>60</v>
      </c>
      <c r="BM43" s="1327">
        <v>58</v>
      </c>
      <c r="BN43" s="1282">
        <v>53</v>
      </c>
      <c r="BO43" s="1282">
        <v>51</v>
      </c>
      <c r="BP43" s="1282">
        <v>31</v>
      </c>
      <c r="BQ43" s="1239"/>
      <c r="BR43" s="2211"/>
      <c r="BS43" s="2181"/>
      <c r="BT43" s="2181"/>
      <c r="BU43" s="2181"/>
      <c r="BV43" s="1407"/>
    </row>
    <row r="44" spans="1:74" x14ac:dyDescent="0.2">
      <c r="A44" s="2185"/>
      <c r="B44" s="1244" t="s">
        <v>112</v>
      </c>
      <c r="C44" s="1476">
        <v>-16</v>
      </c>
      <c r="D44" s="1056">
        <v>-0.1702127659574468</v>
      </c>
      <c r="E44" s="937"/>
      <c r="F44" s="1206"/>
      <c r="G44" s="1206"/>
      <c r="H44" s="2307"/>
      <c r="I44" s="2291">
        <v>78</v>
      </c>
      <c r="J44" s="1310">
        <v>99</v>
      </c>
      <c r="K44" s="1310">
        <v>64</v>
      </c>
      <c r="L44" s="1497">
        <v>88</v>
      </c>
      <c r="M44" s="1326">
        <v>94</v>
      </c>
      <c r="N44" s="1310">
        <v>93</v>
      </c>
      <c r="O44" s="1310">
        <v>96</v>
      </c>
      <c r="P44" s="1310">
        <v>95</v>
      </c>
      <c r="Q44" s="1326">
        <v>90</v>
      </c>
      <c r="R44" s="1310">
        <v>95</v>
      </c>
      <c r="S44" s="1310">
        <v>99</v>
      </c>
      <c r="T44" s="1310">
        <v>105</v>
      </c>
      <c r="U44" s="1326">
        <v>108</v>
      </c>
      <c r="V44" s="1310">
        <v>111</v>
      </c>
      <c r="W44" s="1310">
        <v>123</v>
      </c>
      <c r="X44" s="1310">
        <v>136</v>
      </c>
      <c r="Y44" s="1326">
        <v>143</v>
      </c>
      <c r="Z44" s="1310">
        <v>129</v>
      </c>
      <c r="AA44" s="1310">
        <v>79</v>
      </c>
      <c r="AB44" s="1310">
        <v>70</v>
      </c>
      <c r="AC44" s="1326">
        <v>70</v>
      </c>
      <c r="AD44" s="1310">
        <v>65</v>
      </c>
      <c r="AE44" s="1310">
        <v>59</v>
      </c>
      <c r="AF44" s="1310">
        <v>57</v>
      </c>
      <c r="AG44" s="1326">
        <v>62</v>
      </c>
      <c r="AH44" s="1310">
        <v>66</v>
      </c>
      <c r="AI44" s="1310">
        <v>68</v>
      </c>
      <c r="AJ44" s="1310">
        <v>53</v>
      </c>
      <c r="AK44" s="1326">
        <v>58</v>
      </c>
      <c r="AL44" s="1310">
        <v>60</v>
      </c>
      <c r="AM44" s="1310">
        <v>62</v>
      </c>
      <c r="AN44" s="1310">
        <v>60</v>
      </c>
      <c r="AO44" s="1326">
        <v>63</v>
      </c>
      <c r="AP44" s="1310">
        <v>65</v>
      </c>
      <c r="AQ44" s="1310">
        <v>64</v>
      </c>
      <c r="AR44" s="1310">
        <v>62</v>
      </c>
      <c r="AS44" s="1326">
        <v>60</v>
      </c>
      <c r="AT44" s="1313">
        <v>59</v>
      </c>
      <c r="AU44" s="1326">
        <v>62</v>
      </c>
      <c r="AV44" s="1326">
        <v>62</v>
      </c>
      <c r="AW44" s="1326">
        <v>62</v>
      </c>
      <c r="AX44" s="1466"/>
      <c r="AY44" s="2201">
        <v>60</v>
      </c>
      <c r="AZ44" s="2030">
        <v>65</v>
      </c>
      <c r="BA44" s="1478">
        <v>-5</v>
      </c>
      <c r="BB44" s="1056">
        <v>-7.6923076923076927E-2</v>
      </c>
      <c r="BC44" s="2030"/>
      <c r="BD44" s="1447">
        <v>99</v>
      </c>
      <c r="BE44" s="1447">
        <v>93</v>
      </c>
      <c r="BF44" s="1447">
        <v>95</v>
      </c>
      <c r="BG44" s="1447">
        <v>111</v>
      </c>
      <c r="BH44" s="1447">
        <v>129</v>
      </c>
      <c r="BI44" s="1447">
        <v>65</v>
      </c>
      <c r="BJ44" s="1447">
        <v>66</v>
      </c>
      <c r="BK44" s="1447">
        <v>60</v>
      </c>
      <c r="BL44" s="1327">
        <v>65</v>
      </c>
      <c r="BM44" s="1327">
        <v>59</v>
      </c>
      <c r="BN44" s="1282">
        <v>54</v>
      </c>
      <c r="BO44" s="1282">
        <v>57</v>
      </c>
      <c r="BP44" s="1282">
        <v>36</v>
      </c>
      <c r="BQ44" s="1235"/>
      <c r="BR44" s="963"/>
      <c r="BS44" s="914"/>
      <c r="BT44" s="914"/>
      <c r="BU44" s="914"/>
      <c r="BV44" s="915"/>
    </row>
    <row r="45" spans="1:74" x14ac:dyDescent="0.2">
      <c r="A45" s="2185"/>
      <c r="B45" s="1244"/>
      <c r="C45" s="1476"/>
      <c r="D45" s="1056"/>
      <c r="E45" s="1405"/>
      <c r="F45" s="2182"/>
      <c r="G45" s="2182"/>
      <c r="H45" s="2182"/>
      <c r="I45" s="2291"/>
      <c r="J45" s="2203"/>
      <c r="K45" s="2203"/>
      <c r="L45" s="2203"/>
      <c r="M45" s="1326"/>
      <c r="N45" s="2203"/>
      <c r="O45" s="2203"/>
      <c r="P45" s="2203"/>
      <c r="Q45" s="1326"/>
      <c r="R45" s="2203"/>
      <c r="S45" s="2203"/>
      <c r="T45" s="2203"/>
      <c r="U45" s="1326"/>
      <c r="V45" s="2203"/>
      <c r="W45" s="2203"/>
      <c r="X45" s="2203"/>
      <c r="Y45" s="1326"/>
      <c r="Z45" s="2203"/>
      <c r="AA45" s="2203"/>
      <c r="AB45" s="2203"/>
      <c r="AC45" s="1326"/>
      <c r="AD45" s="2203"/>
      <c r="AE45" s="2203"/>
      <c r="AF45" s="2203"/>
      <c r="AG45" s="1326"/>
      <c r="AH45" s="2203"/>
      <c r="AI45" s="2203"/>
      <c r="AJ45" s="2203"/>
      <c r="AK45" s="1326"/>
      <c r="AL45" s="2203"/>
      <c r="AM45" s="2203"/>
      <c r="AN45" s="2203"/>
      <c r="AO45" s="1326"/>
      <c r="AP45" s="1310"/>
      <c r="AQ45" s="1310"/>
      <c r="AR45" s="1310"/>
      <c r="AS45" s="1326"/>
      <c r="AT45" s="1313"/>
      <c r="AU45" s="1326"/>
      <c r="AV45" s="1326"/>
      <c r="AW45" s="1326" t="s">
        <v>44</v>
      </c>
      <c r="AX45" s="1466"/>
      <c r="AY45" s="2201"/>
      <c r="AZ45" s="2030"/>
      <c r="BA45" s="1478"/>
      <c r="BB45" s="1056"/>
      <c r="BC45" s="2030"/>
      <c r="BD45" s="1447"/>
      <c r="BE45" s="1447"/>
      <c r="BF45" s="1447"/>
      <c r="BG45" s="1447"/>
      <c r="BH45" s="1447"/>
      <c r="BI45" s="1447"/>
      <c r="BJ45" s="1447"/>
      <c r="BK45" s="1447"/>
      <c r="BL45" s="1327"/>
      <c r="BM45" s="1327"/>
      <c r="BN45" s="1282"/>
      <c r="BO45" s="1282"/>
      <c r="BP45" s="1282"/>
      <c r="BQ45" s="1235"/>
      <c r="BR45" s="963"/>
      <c r="BS45" s="914"/>
      <c r="BT45" s="914"/>
      <c r="BU45" s="914"/>
      <c r="BV45" s="914"/>
    </row>
    <row r="46" spans="1:74" ht="26.25" customHeight="1" x14ac:dyDescent="0.2">
      <c r="A46" s="2503" t="s">
        <v>417</v>
      </c>
      <c r="B46" s="2504"/>
      <c r="C46" s="1476"/>
      <c r="D46" s="1056"/>
      <c r="E46" s="1408"/>
      <c r="F46" s="2182"/>
      <c r="G46" s="2182"/>
      <c r="H46" s="2182"/>
      <c r="I46" s="2291"/>
      <c r="J46" s="2203"/>
      <c r="K46" s="2203"/>
      <c r="L46" s="2203"/>
      <c r="M46" s="1326"/>
      <c r="N46" s="2203"/>
      <c r="O46" s="2203"/>
      <c r="P46" s="2203"/>
      <c r="Q46" s="1326"/>
      <c r="R46" s="2203"/>
      <c r="S46" s="2203"/>
      <c r="T46" s="2203"/>
      <c r="U46" s="1326"/>
      <c r="V46" s="2203"/>
      <c r="W46" s="2203"/>
      <c r="X46" s="2203"/>
      <c r="Y46" s="1326"/>
      <c r="Z46" s="2203"/>
      <c r="AA46" s="2203"/>
      <c r="AB46" s="2203"/>
      <c r="AC46" s="1326"/>
      <c r="AD46" s="2203"/>
      <c r="AE46" s="2203"/>
      <c r="AF46" s="2203"/>
      <c r="AG46" s="1326"/>
      <c r="AH46" s="2203"/>
      <c r="AI46" s="2203"/>
      <c r="AJ46" s="2203"/>
      <c r="AK46" s="1326"/>
      <c r="AL46" s="2203"/>
      <c r="AM46" s="2203"/>
      <c r="AN46" s="2203"/>
      <c r="AO46" s="1326"/>
      <c r="AP46" s="1310"/>
      <c r="AQ46" s="1310"/>
      <c r="AR46" s="1310"/>
      <c r="AS46" s="1326"/>
      <c r="AT46" s="1313"/>
      <c r="AU46" s="1326"/>
      <c r="AV46" s="1326"/>
      <c r="AW46" s="1326"/>
      <c r="AX46" s="1466"/>
      <c r="AY46" s="2201"/>
      <c r="AZ46" s="2030"/>
      <c r="BA46" s="1478"/>
      <c r="BB46" s="1056"/>
      <c r="BC46" s="2030"/>
      <c r="BD46" s="1447"/>
      <c r="BE46" s="1447"/>
      <c r="BF46" s="1447"/>
      <c r="BG46" s="1447"/>
      <c r="BH46" s="1447"/>
      <c r="BI46" s="1447"/>
      <c r="BJ46" s="1447"/>
      <c r="BK46" s="1447"/>
      <c r="BL46" s="1327"/>
      <c r="BM46" s="1327"/>
      <c r="BN46" s="1282"/>
      <c r="BO46" s="1282"/>
      <c r="BP46" s="1282"/>
      <c r="BQ46" s="1235"/>
      <c r="BR46" s="963"/>
      <c r="BS46" s="914"/>
      <c r="BT46" s="914"/>
      <c r="BU46" s="914"/>
      <c r="BV46" s="914"/>
    </row>
    <row r="47" spans="1:74" x14ac:dyDescent="0.2">
      <c r="A47" s="2185"/>
      <c r="B47" s="1244" t="s">
        <v>113</v>
      </c>
      <c r="C47" s="1476">
        <v>-1</v>
      </c>
      <c r="D47" s="1056">
        <v>-1</v>
      </c>
      <c r="E47" s="1187"/>
      <c r="F47" s="1209"/>
      <c r="G47" s="932"/>
      <c r="H47" s="2307"/>
      <c r="I47" s="2299">
        <v>0</v>
      </c>
      <c r="J47" s="1322">
        <v>0</v>
      </c>
      <c r="K47" s="1026">
        <v>0</v>
      </c>
      <c r="L47" s="1497">
        <v>1</v>
      </c>
      <c r="M47" s="1449">
        <v>1</v>
      </c>
      <c r="N47" s="1322">
        <v>1</v>
      </c>
      <c r="O47" s="1026">
        <v>1</v>
      </c>
      <c r="P47" s="1497">
        <v>1</v>
      </c>
      <c r="Q47" s="2204">
        <v>1</v>
      </c>
      <c r="R47" s="2205">
        <v>0</v>
      </c>
      <c r="S47" s="1026">
        <v>0</v>
      </c>
      <c r="T47" s="1497">
        <v>0</v>
      </c>
      <c r="U47" s="2204">
        <v>0</v>
      </c>
      <c r="V47" s="979">
        <v>0</v>
      </c>
      <c r="W47" s="1026">
        <v>0</v>
      </c>
      <c r="X47" s="1028">
        <v>0</v>
      </c>
      <c r="Y47" s="1498">
        <v>0</v>
      </c>
      <c r="Z47" s="2204">
        <v>0</v>
      </c>
      <c r="AA47" s="1310">
        <v>2</v>
      </c>
      <c r="AB47" s="1248">
        <v>2</v>
      </c>
      <c r="AC47" s="1489">
        <v>1</v>
      </c>
      <c r="AD47" s="1310">
        <v>1</v>
      </c>
      <c r="AE47" s="1310">
        <v>1</v>
      </c>
      <c r="AF47" s="1248">
        <v>1</v>
      </c>
      <c r="AG47" s="1489">
        <v>1</v>
      </c>
      <c r="AH47" s="1310">
        <v>1</v>
      </c>
      <c r="AI47" s="2206">
        <v>0</v>
      </c>
      <c r="AJ47" s="2206">
        <v>0</v>
      </c>
      <c r="AK47" s="2206">
        <v>0</v>
      </c>
      <c r="AL47" s="2207">
        <v>0</v>
      </c>
      <c r="AM47" s="1090">
        <v>0</v>
      </c>
      <c r="AN47" s="1090">
        <v>0</v>
      </c>
      <c r="AO47" s="1056">
        <v>0</v>
      </c>
      <c r="AP47" s="1310">
        <v>1</v>
      </c>
      <c r="AQ47" s="1310">
        <v>1</v>
      </c>
      <c r="AR47" s="1310">
        <v>0</v>
      </c>
      <c r="AS47" s="1326">
        <v>1</v>
      </c>
      <c r="AT47" s="1282">
        <v>0</v>
      </c>
      <c r="AU47" s="1326">
        <v>1</v>
      </c>
      <c r="AV47" s="1326">
        <v>1</v>
      </c>
      <c r="AW47" s="1326">
        <v>1</v>
      </c>
      <c r="AX47" s="1313"/>
      <c r="AY47" s="2201">
        <v>0</v>
      </c>
      <c r="AZ47" s="2030">
        <v>1</v>
      </c>
      <c r="BA47" s="1478">
        <v>-1</v>
      </c>
      <c r="BB47" s="1056" t="s">
        <v>42</v>
      </c>
      <c r="BC47" s="1280"/>
      <c r="BD47" s="1447">
        <v>0</v>
      </c>
      <c r="BE47" s="1447">
        <v>1</v>
      </c>
      <c r="BF47" s="1449">
        <v>0</v>
      </c>
      <c r="BG47" s="1449">
        <v>0</v>
      </c>
      <c r="BH47" s="2394">
        <v>0</v>
      </c>
      <c r="BI47" s="1447">
        <v>1</v>
      </c>
      <c r="BJ47" s="1447">
        <v>1</v>
      </c>
      <c r="BK47" s="2208">
        <v>0</v>
      </c>
      <c r="BL47" s="1297">
        <v>1</v>
      </c>
      <c r="BM47" s="1327">
        <v>0</v>
      </c>
      <c r="BN47" s="1282">
        <v>1</v>
      </c>
      <c r="BO47" s="1282">
        <v>4</v>
      </c>
      <c r="BP47" s="1282">
        <v>3</v>
      </c>
      <c r="BQ47" s="1235"/>
      <c r="BR47" s="963"/>
      <c r="BS47" s="914"/>
      <c r="BT47" s="914"/>
      <c r="BU47" s="914"/>
      <c r="BV47" s="914"/>
    </row>
    <row r="48" spans="1:74" x14ac:dyDescent="0.2">
      <c r="A48" s="2185"/>
      <c r="B48" s="1244" t="s">
        <v>114</v>
      </c>
      <c r="C48" s="1476">
        <v>2</v>
      </c>
      <c r="D48" s="1056">
        <v>7.407407407407407E-2</v>
      </c>
      <c r="E48" s="1187"/>
      <c r="F48" s="1206"/>
      <c r="G48" s="1206"/>
      <c r="H48" s="1206"/>
      <c r="I48" s="2291">
        <v>29</v>
      </c>
      <c r="J48" s="1310">
        <v>32</v>
      </c>
      <c r="K48" s="1310">
        <v>28</v>
      </c>
      <c r="L48" s="1310">
        <v>25</v>
      </c>
      <c r="M48" s="1326">
        <v>27</v>
      </c>
      <c r="N48" s="1310">
        <v>30</v>
      </c>
      <c r="O48" s="1310">
        <v>31</v>
      </c>
      <c r="P48" s="1310">
        <v>32</v>
      </c>
      <c r="Q48" s="1326">
        <v>33</v>
      </c>
      <c r="R48" s="1310">
        <v>33</v>
      </c>
      <c r="S48" s="1310">
        <v>36</v>
      </c>
      <c r="T48" s="1310">
        <v>40</v>
      </c>
      <c r="U48" s="1326">
        <v>43</v>
      </c>
      <c r="V48" s="1310">
        <v>45</v>
      </c>
      <c r="W48" s="1310">
        <v>50</v>
      </c>
      <c r="X48" s="1310">
        <v>52</v>
      </c>
      <c r="Y48" s="1326">
        <v>53</v>
      </c>
      <c r="Z48" s="1310">
        <v>62</v>
      </c>
      <c r="AA48" s="1310">
        <v>35</v>
      </c>
      <c r="AB48" s="1310">
        <v>32</v>
      </c>
      <c r="AC48" s="1326">
        <v>31</v>
      </c>
      <c r="AD48" s="1310">
        <v>30</v>
      </c>
      <c r="AE48" s="1310">
        <v>29</v>
      </c>
      <c r="AF48" s="1310">
        <v>30</v>
      </c>
      <c r="AG48" s="1326">
        <v>32</v>
      </c>
      <c r="AH48" s="1310">
        <v>35</v>
      </c>
      <c r="AI48" s="1310">
        <v>37</v>
      </c>
      <c r="AJ48" s="1310">
        <v>36</v>
      </c>
      <c r="AK48" s="1326">
        <v>41</v>
      </c>
      <c r="AL48" s="1310">
        <v>42</v>
      </c>
      <c r="AM48" s="1310">
        <v>46</v>
      </c>
      <c r="AN48" s="1310">
        <v>45</v>
      </c>
      <c r="AO48" s="1326">
        <v>48</v>
      </c>
      <c r="AP48" s="1310">
        <v>51</v>
      </c>
      <c r="AQ48" s="1310">
        <v>50</v>
      </c>
      <c r="AR48" s="1310">
        <v>51</v>
      </c>
      <c r="AS48" s="1326">
        <v>49</v>
      </c>
      <c r="AT48" s="1313">
        <v>50</v>
      </c>
      <c r="AU48" s="1326">
        <v>51</v>
      </c>
      <c r="AV48" s="1326">
        <v>52</v>
      </c>
      <c r="AW48" s="1326">
        <v>55</v>
      </c>
      <c r="AX48" s="1313"/>
      <c r="AY48" s="2201">
        <v>42</v>
      </c>
      <c r="AZ48" s="2030">
        <v>51</v>
      </c>
      <c r="BA48" s="1478">
        <v>-9</v>
      </c>
      <c r="BB48" s="1056">
        <v>-0.17647058823529413</v>
      </c>
      <c r="BC48" s="2176"/>
      <c r="BD48" s="1447">
        <v>32</v>
      </c>
      <c r="BE48" s="1447">
        <v>30</v>
      </c>
      <c r="BF48" s="1447">
        <v>33</v>
      </c>
      <c r="BG48" s="1447">
        <v>45</v>
      </c>
      <c r="BH48" s="1447">
        <v>62</v>
      </c>
      <c r="BI48" s="1447">
        <v>30</v>
      </c>
      <c r="BJ48" s="1447">
        <v>35</v>
      </c>
      <c r="BK48" s="1447">
        <v>42</v>
      </c>
      <c r="BL48" s="1327">
        <v>51</v>
      </c>
      <c r="BM48" s="1327">
        <v>50</v>
      </c>
      <c r="BN48" s="1282">
        <v>49</v>
      </c>
      <c r="BO48" s="1282">
        <v>47</v>
      </c>
      <c r="BP48" s="1282">
        <v>24</v>
      </c>
      <c r="BQ48" s="1235"/>
      <c r="BR48" s="963"/>
      <c r="BS48" s="914"/>
      <c r="BT48" s="914"/>
      <c r="BU48" s="914"/>
      <c r="BV48" s="914"/>
    </row>
    <row r="49" spans="1:74" x14ac:dyDescent="0.2">
      <c r="A49" s="1244"/>
      <c r="B49" s="1244" t="s">
        <v>196</v>
      </c>
      <c r="C49" s="1476">
        <v>1</v>
      </c>
      <c r="D49" s="1056">
        <v>3.5714285714285712E-2</v>
      </c>
      <c r="E49" s="1187"/>
      <c r="F49" s="1206"/>
      <c r="G49" s="1206"/>
      <c r="H49" s="1206"/>
      <c r="I49" s="2291">
        <v>29</v>
      </c>
      <c r="J49" s="1310">
        <v>32</v>
      </c>
      <c r="K49" s="1310">
        <v>28</v>
      </c>
      <c r="L49" s="1310">
        <v>26</v>
      </c>
      <c r="M49" s="1326">
        <v>28</v>
      </c>
      <c r="N49" s="1310">
        <v>31</v>
      </c>
      <c r="O49" s="1310">
        <v>32</v>
      </c>
      <c r="P49" s="1310">
        <v>33</v>
      </c>
      <c r="Q49" s="1326">
        <v>34</v>
      </c>
      <c r="R49" s="1310">
        <v>33</v>
      </c>
      <c r="S49" s="1310">
        <v>36</v>
      </c>
      <c r="T49" s="1310">
        <v>40</v>
      </c>
      <c r="U49" s="1326">
        <v>43</v>
      </c>
      <c r="V49" s="1310">
        <v>45</v>
      </c>
      <c r="W49" s="1310">
        <v>50</v>
      </c>
      <c r="X49" s="1310">
        <v>52</v>
      </c>
      <c r="Y49" s="1326">
        <v>53</v>
      </c>
      <c r="Z49" s="1310">
        <v>62</v>
      </c>
      <c r="AA49" s="1310">
        <v>37</v>
      </c>
      <c r="AB49" s="1310">
        <v>34</v>
      </c>
      <c r="AC49" s="1326">
        <v>32</v>
      </c>
      <c r="AD49" s="1310">
        <v>31</v>
      </c>
      <c r="AE49" s="1310">
        <v>30</v>
      </c>
      <c r="AF49" s="1310">
        <v>31</v>
      </c>
      <c r="AG49" s="1326">
        <v>33</v>
      </c>
      <c r="AH49" s="1310">
        <v>36</v>
      </c>
      <c r="AI49" s="1310">
        <v>37</v>
      </c>
      <c r="AJ49" s="1310">
        <v>36</v>
      </c>
      <c r="AK49" s="1326">
        <v>41</v>
      </c>
      <c r="AL49" s="1310">
        <v>42</v>
      </c>
      <c r="AM49" s="1310">
        <v>46</v>
      </c>
      <c r="AN49" s="1310">
        <v>45</v>
      </c>
      <c r="AO49" s="1326">
        <v>48</v>
      </c>
      <c r="AP49" s="1310">
        <v>52</v>
      </c>
      <c r="AQ49" s="1310">
        <v>51</v>
      </c>
      <c r="AR49" s="1310">
        <v>51</v>
      </c>
      <c r="AS49" s="1326">
        <v>50</v>
      </c>
      <c r="AT49" s="1313">
        <v>50</v>
      </c>
      <c r="AU49" s="1326">
        <v>52</v>
      </c>
      <c r="AV49" s="1326">
        <v>53</v>
      </c>
      <c r="AW49" s="1326">
        <v>56</v>
      </c>
      <c r="AX49" s="1313"/>
      <c r="AY49" s="2201">
        <v>42</v>
      </c>
      <c r="AZ49" s="2030">
        <v>52</v>
      </c>
      <c r="BA49" s="1478">
        <v>-10</v>
      </c>
      <c r="BB49" s="1056">
        <v>-0.19230769230769232</v>
      </c>
      <c r="BC49" s="2176"/>
      <c r="BD49" s="1447">
        <v>32</v>
      </c>
      <c r="BE49" s="1447">
        <v>31</v>
      </c>
      <c r="BF49" s="1447">
        <v>33</v>
      </c>
      <c r="BG49" s="1447">
        <v>45</v>
      </c>
      <c r="BH49" s="1447">
        <v>62</v>
      </c>
      <c r="BI49" s="1447">
        <v>31</v>
      </c>
      <c r="BJ49" s="1447">
        <v>36</v>
      </c>
      <c r="BK49" s="1477">
        <v>42</v>
      </c>
      <c r="BL49" s="1327">
        <v>52</v>
      </c>
      <c r="BM49" s="1327">
        <v>50</v>
      </c>
      <c r="BN49" s="1282">
        <v>50</v>
      </c>
      <c r="BO49" s="1282">
        <v>51</v>
      </c>
      <c r="BP49" s="1282">
        <v>27</v>
      </c>
      <c r="BQ49" s="1235"/>
      <c r="BR49" s="963"/>
      <c r="BS49" s="914"/>
      <c r="BT49" s="914"/>
      <c r="BU49" s="914"/>
      <c r="BV49" s="914"/>
    </row>
    <row r="50" spans="1:74" x14ac:dyDescent="0.2">
      <c r="A50" s="963"/>
      <c r="B50" s="963"/>
      <c r="C50" s="2188"/>
      <c r="D50" s="2189"/>
      <c r="E50" s="1187"/>
      <c r="F50" s="1218"/>
      <c r="G50" s="1413"/>
      <c r="H50" s="1218"/>
      <c r="I50" s="2296"/>
      <c r="J50" s="1357"/>
      <c r="K50" s="1525"/>
      <c r="L50" s="1357"/>
      <c r="M50" s="1373"/>
      <c r="N50" s="1357"/>
      <c r="O50" s="1357"/>
      <c r="P50" s="1357"/>
      <c r="Q50" s="1373"/>
      <c r="R50" s="1357"/>
      <c r="S50" s="1357"/>
      <c r="T50" s="1357"/>
      <c r="U50" s="1373"/>
      <c r="V50" s="1357"/>
      <c r="W50" s="1357"/>
      <c r="X50" s="1357"/>
      <c r="Y50" s="1373"/>
      <c r="Z50" s="1357"/>
      <c r="AA50" s="1357"/>
      <c r="AB50" s="1357"/>
      <c r="AC50" s="1373"/>
      <c r="AD50" s="1357"/>
      <c r="AE50" s="1357"/>
      <c r="AF50" s="1357"/>
      <c r="AG50" s="1373"/>
      <c r="AH50" s="1357"/>
      <c r="AI50" s="1357"/>
      <c r="AJ50" s="1357"/>
      <c r="AK50" s="1373"/>
      <c r="AL50" s="1357"/>
      <c r="AM50" s="1357"/>
      <c r="AN50" s="1357"/>
      <c r="AO50" s="1373"/>
      <c r="AP50" s="1374"/>
      <c r="AQ50" s="1374"/>
      <c r="AR50" s="1374"/>
      <c r="AS50" s="1373"/>
      <c r="AT50" s="1380"/>
      <c r="AU50" s="1373"/>
      <c r="AV50" s="1373"/>
      <c r="AW50" s="1373"/>
      <c r="AX50" s="1313"/>
      <c r="AY50" s="1379"/>
      <c r="AZ50" s="1303"/>
      <c r="BA50" s="1303"/>
      <c r="BB50" s="2209"/>
      <c r="BC50" s="2176"/>
      <c r="BD50" s="1013"/>
      <c r="BE50" s="1013"/>
      <c r="BF50" s="1013"/>
      <c r="BG50" s="1013"/>
      <c r="BH50" s="1013"/>
      <c r="BI50" s="1013"/>
      <c r="BJ50" s="1013"/>
      <c r="BK50" s="1535"/>
      <c r="BL50" s="1380"/>
      <c r="BM50" s="1535"/>
      <c r="BN50" s="1380"/>
      <c r="BO50" s="1380"/>
      <c r="BP50" s="1380"/>
      <c r="BQ50" s="1235"/>
      <c r="BR50" s="963"/>
      <c r="BS50" s="914"/>
      <c r="BT50" s="914"/>
      <c r="BU50" s="914"/>
      <c r="BV50" s="914"/>
    </row>
    <row r="51" spans="1:74" ht="14.25" x14ac:dyDescent="0.2">
      <c r="A51" s="1244" t="s">
        <v>244</v>
      </c>
      <c r="B51" s="2080"/>
      <c r="C51" s="1226"/>
      <c r="D51" s="1226"/>
      <c r="AO51" s="1226"/>
      <c r="AP51" s="1226"/>
      <c r="AQ51" s="1226"/>
      <c r="AR51" s="1226"/>
      <c r="AS51" s="1226"/>
      <c r="AT51" s="1226"/>
      <c r="AU51" s="1226"/>
      <c r="AV51" s="1226"/>
      <c r="AW51" s="981"/>
      <c r="AX51" s="1226"/>
      <c r="AY51" s="1226"/>
      <c r="AZ51" s="1226"/>
      <c r="BA51" s="1226"/>
      <c r="BB51" s="1226"/>
      <c r="BE51" s="1226"/>
      <c r="BF51" s="1226"/>
      <c r="BG51" s="1226"/>
      <c r="BH51" s="1226"/>
      <c r="BI51" s="1226"/>
      <c r="BJ51" s="1226"/>
      <c r="BK51" s="1226"/>
      <c r="BL51" s="1041"/>
      <c r="BM51" s="1226"/>
      <c r="BR51" s="963"/>
      <c r="BS51" s="914"/>
      <c r="BT51" s="914"/>
      <c r="BU51" s="914"/>
      <c r="BV51" s="914"/>
    </row>
    <row r="52" spans="1:74" x14ac:dyDescent="0.2">
      <c r="B52" s="2190"/>
      <c r="M52" s="1225"/>
      <c r="Q52" s="1225"/>
      <c r="U52" s="1225"/>
      <c r="Y52" s="1225"/>
      <c r="AC52" s="1225"/>
      <c r="AG52" s="1225"/>
      <c r="AK52" s="1225"/>
      <c r="AW52" s="1178"/>
      <c r="AX52" s="1226"/>
      <c r="AY52" s="1226"/>
      <c r="AZ52" s="1226"/>
      <c r="BL52" s="964"/>
      <c r="BM52" s="964"/>
    </row>
    <row r="53" spans="1:74" x14ac:dyDescent="0.2">
      <c r="A53" s="969" t="s">
        <v>310</v>
      </c>
      <c r="M53" s="1391"/>
      <c r="Q53" s="1391"/>
      <c r="U53" s="1391"/>
      <c r="Y53" s="1391"/>
      <c r="AC53" s="1391"/>
      <c r="AG53" s="1225"/>
      <c r="AK53" s="1225"/>
      <c r="AW53" s="1392"/>
      <c r="AX53" s="1226"/>
      <c r="AY53" s="1226"/>
      <c r="AZ53" s="1226"/>
      <c r="BL53" s="964"/>
      <c r="BM53" s="964"/>
    </row>
    <row r="54" spans="1:74" x14ac:dyDescent="0.2">
      <c r="C54" s="1558"/>
      <c r="E54" s="1207"/>
      <c r="F54" s="1207"/>
      <c r="G54" s="1207"/>
      <c r="H54" s="1207"/>
      <c r="I54" s="1207"/>
      <c r="J54" s="1558"/>
      <c r="K54" s="1558"/>
      <c r="L54" s="1558"/>
      <c r="M54" s="1558"/>
      <c r="N54" s="1558"/>
      <c r="O54" s="1558"/>
      <c r="P54" s="1558"/>
      <c r="Q54" s="1558"/>
      <c r="R54" s="1558"/>
      <c r="S54" s="1558"/>
      <c r="T54" s="1558"/>
      <c r="U54" s="1558"/>
      <c r="V54" s="1558"/>
      <c r="W54" s="1558"/>
      <c r="X54" s="1558"/>
      <c r="Y54" s="1558"/>
      <c r="Z54" s="1558"/>
      <c r="AA54" s="1558"/>
      <c r="AB54" s="1558"/>
      <c r="AC54" s="1558"/>
      <c r="AD54" s="1558"/>
      <c r="AE54" s="1558"/>
      <c r="AF54" s="1558"/>
      <c r="AG54" s="1558"/>
      <c r="AH54" s="1558"/>
      <c r="AI54" s="1558"/>
      <c r="AJ54" s="1558"/>
      <c r="AK54" s="1558"/>
      <c r="AL54" s="1558"/>
      <c r="AM54" s="1558"/>
      <c r="AN54" s="1558"/>
      <c r="AO54" s="1558"/>
      <c r="AP54" s="1558"/>
      <c r="AQ54" s="1558"/>
      <c r="AR54" s="1558"/>
      <c r="AW54" s="964"/>
      <c r="AX54" s="1226"/>
      <c r="AY54" s="1226"/>
      <c r="AZ54" s="1226"/>
      <c r="BL54" s="1034"/>
      <c r="BM54" s="1034"/>
    </row>
    <row r="55" spans="1:74" x14ac:dyDescent="0.2">
      <c r="K55" s="1259"/>
      <c r="O55" s="1259"/>
      <c r="S55" s="1259"/>
      <c r="W55" s="1259"/>
      <c r="AO55" s="1226"/>
      <c r="AP55" s="1226"/>
      <c r="AT55" s="1226"/>
      <c r="AW55" s="989"/>
      <c r="AX55" s="1226"/>
      <c r="AY55" s="1226"/>
      <c r="AZ55" s="1226"/>
      <c r="BL55" s="1034"/>
      <c r="BM55" s="1034"/>
    </row>
    <row r="56" spans="1:74" x14ac:dyDescent="0.2">
      <c r="M56" s="1225"/>
      <c r="Q56" s="1225"/>
      <c r="U56" s="1225"/>
      <c r="Y56" s="1225"/>
      <c r="AC56" s="1225"/>
      <c r="AG56" s="1225"/>
      <c r="AK56" s="1225"/>
      <c r="AW56" s="1041"/>
      <c r="AX56" s="1226"/>
      <c r="AY56" s="1226"/>
      <c r="AZ56" s="1226"/>
      <c r="BL56" s="1116"/>
      <c r="BM56" s="1116"/>
    </row>
    <row r="57" spans="1:74" x14ac:dyDescent="0.2">
      <c r="L57" s="1256"/>
      <c r="M57" s="1225"/>
      <c r="P57" s="1256"/>
      <c r="Q57" s="1225"/>
      <c r="T57" s="1256"/>
      <c r="U57" s="1225"/>
      <c r="X57" s="1256"/>
      <c r="Y57" s="1225"/>
      <c r="AB57" s="1256"/>
      <c r="AC57" s="1225"/>
      <c r="AF57" s="1256"/>
      <c r="AG57" s="1225"/>
      <c r="AJ57" s="1256"/>
      <c r="AK57" s="1225"/>
      <c r="AN57" s="1256"/>
      <c r="AW57" s="1022"/>
      <c r="AX57" s="1226"/>
      <c r="AY57" s="1226"/>
      <c r="AZ57" s="1226"/>
      <c r="BL57" s="1021"/>
      <c r="BM57" s="1021"/>
    </row>
    <row r="58" spans="1:74" x14ac:dyDescent="0.2">
      <c r="M58" s="1225"/>
      <c r="Q58" s="1225"/>
      <c r="U58" s="1225"/>
      <c r="Y58" s="1225"/>
      <c r="AC58" s="1225"/>
      <c r="AG58" s="1225"/>
      <c r="AK58" s="1225"/>
      <c r="AW58" s="1022"/>
      <c r="AX58" s="1226"/>
      <c r="AY58" s="1226"/>
      <c r="AZ58" s="1226"/>
      <c r="BL58" s="1057"/>
      <c r="BM58" s="1057"/>
    </row>
    <row r="59" spans="1:74" x14ac:dyDescent="0.2">
      <c r="M59" s="1225"/>
      <c r="Q59" s="1225"/>
      <c r="U59" s="1225"/>
      <c r="Y59" s="1225"/>
      <c r="AC59" s="1225"/>
      <c r="AG59" s="1225"/>
      <c r="AK59" s="1225"/>
      <c r="AW59" s="975"/>
      <c r="AX59" s="1226"/>
      <c r="AY59" s="1226"/>
      <c r="AZ59" s="1226"/>
      <c r="BL59" s="1057"/>
      <c r="BM59" s="1057"/>
    </row>
    <row r="60" spans="1:74" x14ac:dyDescent="0.2">
      <c r="M60" s="1225"/>
      <c r="Q60" s="1225"/>
      <c r="U60" s="1225"/>
      <c r="Y60" s="1225"/>
      <c r="AC60" s="1225"/>
      <c r="AG60" s="1225"/>
      <c r="AK60" s="1225"/>
      <c r="AW60" s="1057"/>
      <c r="AX60" s="1226"/>
      <c r="AY60" s="1226"/>
      <c r="AZ60" s="1226"/>
      <c r="BL60" s="1120"/>
      <c r="BM60" s="1120"/>
    </row>
    <row r="61" spans="1:74" x14ac:dyDescent="0.2">
      <c r="M61" s="1225"/>
      <c r="Q61" s="1225"/>
      <c r="U61" s="1225"/>
      <c r="Y61" s="1225"/>
      <c r="AC61" s="1225"/>
      <c r="AG61" s="1225"/>
      <c r="AK61" s="1225"/>
      <c r="AW61" s="1120"/>
      <c r="AX61" s="1226"/>
      <c r="AY61" s="1226"/>
      <c r="AZ61" s="1226"/>
      <c r="BL61" s="1120"/>
      <c r="BM61" s="1120"/>
    </row>
    <row r="62" spans="1:74" x14ac:dyDescent="0.2">
      <c r="M62" s="1225"/>
      <c r="Q62" s="1225"/>
      <c r="U62" s="1225"/>
      <c r="Y62" s="1225"/>
      <c r="AC62" s="1225"/>
      <c r="AG62" s="1225"/>
      <c r="AK62" s="1225"/>
      <c r="AW62" s="1120"/>
      <c r="AX62" s="1226"/>
      <c r="AY62" s="1226"/>
      <c r="AZ62" s="1226"/>
      <c r="BL62" s="1226"/>
      <c r="BM62" s="1226"/>
    </row>
    <row r="63" spans="1:74" x14ac:dyDescent="0.2">
      <c r="M63" s="1225"/>
      <c r="Q63" s="1225"/>
      <c r="U63" s="1225"/>
      <c r="Y63" s="1225"/>
      <c r="AC63" s="1225"/>
      <c r="AG63" s="1225"/>
      <c r="AK63" s="1225"/>
      <c r="AW63" s="1226"/>
      <c r="AX63" s="1226"/>
      <c r="AY63" s="1226"/>
      <c r="AZ63" s="1226"/>
      <c r="BL63" s="1226"/>
      <c r="BM63" s="1226"/>
    </row>
    <row r="64" spans="1:74" x14ac:dyDescent="0.2">
      <c r="M64" s="1225"/>
      <c r="Q64" s="1225"/>
      <c r="U64" s="1225"/>
      <c r="Y64" s="1225"/>
      <c r="AC64" s="1225"/>
      <c r="AG64" s="1225"/>
      <c r="AK64" s="1225"/>
      <c r="AW64" s="1226"/>
      <c r="AX64" s="1226"/>
      <c r="AY64" s="1226"/>
      <c r="AZ64" s="1226"/>
      <c r="BL64" s="1226"/>
      <c r="BM64" s="1226"/>
    </row>
    <row r="65" spans="2:65" x14ac:dyDescent="0.2">
      <c r="M65" s="1225"/>
      <c r="Q65" s="1225"/>
      <c r="U65" s="1225"/>
      <c r="Y65" s="1225"/>
      <c r="AC65" s="1225"/>
      <c r="AG65" s="1225"/>
      <c r="AK65" s="1225"/>
      <c r="AW65" s="1226"/>
      <c r="AX65" s="1226"/>
      <c r="AY65" s="1226"/>
      <c r="AZ65" s="1226"/>
      <c r="BL65" s="1226"/>
      <c r="BM65" s="1226"/>
    </row>
    <row r="66" spans="2:65" x14ac:dyDescent="0.2">
      <c r="M66" s="1225"/>
      <c r="Q66" s="1225"/>
      <c r="U66" s="1225"/>
      <c r="Y66" s="1225"/>
      <c r="AC66" s="1225"/>
      <c r="AG66" s="1225"/>
      <c r="AK66" s="1225"/>
      <c r="AW66" s="1226"/>
      <c r="AX66" s="1226"/>
      <c r="AY66" s="1226"/>
      <c r="AZ66" s="1226"/>
      <c r="BL66" s="1226"/>
      <c r="BM66" s="1226"/>
    </row>
    <row r="67" spans="2:65" x14ac:dyDescent="0.2">
      <c r="M67" s="1225"/>
      <c r="Q67" s="1225"/>
      <c r="U67" s="1225"/>
      <c r="Y67" s="1225"/>
      <c r="AC67" s="1225"/>
      <c r="AG67" s="1225"/>
      <c r="AK67" s="1225"/>
      <c r="AW67" s="1226"/>
      <c r="AX67" s="1226"/>
      <c r="AY67" s="1226"/>
      <c r="AZ67" s="1226"/>
    </row>
    <row r="68" spans="2:65" ht="14.25" x14ac:dyDescent="0.2">
      <c r="B68" s="1241"/>
      <c r="M68" s="1225"/>
      <c r="Q68" s="1225"/>
      <c r="U68" s="1225"/>
      <c r="Y68" s="1225"/>
      <c r="AC68" s="1225"/>
      <c r="AG68" s="1225"/>
      <c r="AK68" s="1225"/>
    </row>
    <row r="69" spans="2:65" x14ac:dyDescent="0.2">
      <c r="M69" s="1225"/>
      <c r="Q69" s="1225"/>
      <c r="U69" s="1225"/>
      <c r="Y69" s="1225"/>
      <c r="AC69" s="1225"/>
      <c r="AG69" s="1225"/>
      <c r="AK69" s="1225"/>
    </row>
    <row r="70" spans="2:65" x14ac:dyDescent="0.2">
      <c r="M70" s="1225"/>
      <c r="Q70" s="1225"/>
      <c r="U70" s="1225"/>
      <c r="Y70" s="1225"/>
      <c r="AC70" s="1225"/>
      <c r="AG70" s="1225"/>
      <c r="AK70" s="1225"/>
    </row>
    <row r="71" spans="2:65" x14ac:dyDescent="0.2">
      <c r="M71" s="1225"/>
      <c r="Q71" s="1225"/>
      <c r="U71" s="1225"/>
      <c r="Y71" s="1225"/>
      <c r="AC71" s="1225"/>
      <c r="AG71" s="1225"/>
      <c r="AK71" s="1225"/>
    </row>
    <row r="72" spans="2:65" x14ac:dyDescent="0.2">
      <c r="M72" s="1225"/>
      <c r="Q72" s="1225"/>
      <c r="U72" s="1225"/>
      <c r="Y72" s="1225"/>
      <c r="AC72" s="1225"/>
      <c r="AG72" s="1225"/>
      <c r="AK72" s="1225"/>
    </row>
    <row r="73" spans="2:65" x14ac:dyDescent="0.2">
      <c r="M73" s="1225"/>
      <c r="Q73" s="1225"/>
      <c r="U73" s="1225"/>
      <c r="Y73" s="1225"/>
      <c r="AC73" s="1225"/>
      <c r="AG73" s="1225"/>
      <c r="AK73" s="1225"/>
    </row>
    <row r="74" spans="2:65" x14ac:dyDescent="0.2">
      <c r="M74" s="1225"/>
      <c r="Q74" s="1225"/>
      <c r="U74" s="1225"/>
      <c r="Y74" s="1225"/>
      <c r="AC74" s="1225"/>
      <c r="AG74" s="1225"/>
      <c r="AK74" s="1225"/>
    </row>
    <row r="75" spans="2:65" x14ac:dyDescent="0.2">
      <c r="M75" s="1225"/>
      <c r="Q75" s="1225"/>
      <c r="U75" s="1225"/>
      <c r="Y75" s="1225"/>
      <c r="AC75" s="1225"/>
      <c r="AG75" s="1225"/>
      <c r="AK75" s="1225"/>
    </row>
    <row r="76" spans="2:65" x14ac:dyDescent="0.2">
      <c r="M76" s="1225"/>
      <c r="Q76" s="1225"/>
      <c r="U76" s="1225"/>
      <c r="Y76" s="1225"/>
      <c r="AC76" s="1225"/>
      <c r="AG76" s="1225"/>
      <c r="AK76" s="1225"/>
    </row>
    <row r="77" spans="2:65" x14ac:dyDescent="0.2">
      <c r="M77" s="1225"/>
      <c r="Q77" s="1225"/>
      <c r="U77" s="1225"/>
      <c r="Y77" s="1225"/>
      <c r="AC77" s="1225"/>
      <c r="AG77" s="1225"/>
      <c r="AK77" s="1225"/>
    </row>
    <row r="83" spans="12:12" x14ac:dyDescent="0.2">
      <c r="L83" s="964"/>
    </row>
    <row r="84" spans="12:12" x14ac:dyDescent="0.2">
      <c r="L84" s="964"/>
    </row>
    <row r="85" spans="12:12" x14ac:dyDescent="0.2">
      <c r="L85" s="964"/>
    </row>
    <row r="86" spans="12:12" x14ac:dyDescent="0.2">
      <c r="L86" s="964"/>
    </row>
    <row r="87" spans="12:12" x14ac:dyDescent="0.2">
      <c r="L87" s="964"/>
    </row>
    <row r="88" spans="12:12" x14ac:dyDescent="0.2">
      <c r="L88" s="964"/>
    </row>
    <row r="89" spans="12:12" x14ac:dyDescent="0.2">
      <c r="L89" s="964"/>
    </row>
    <row r="90" spans="12:12" x14ac:dyDescent="0.2">
      <c r="L90" s="964"/>
    </row>
  </sheetData>
  <mergeCells count="7">
    <mergeCell ref="BA9:BB9"/>
    <mergeCell ref="A41:B41"/>
    <mergeCell ref="A46:B46"/>
    <mergeCell ref="C9:D9"/>
    <mergeCell ref="AY8:BB8"/>
    <mergeCell ref="C8:D8"/>
    <mergeCell ref="A32:B32"/>
  </mergeCells>
  <phoneticPr fontId="16" type="noConversion"/>
  <conditionalFormatting sqref="A44:B44 AO40:AO41 AL39:AN42 BC39:BC42 AK40:AK41 AA36:AJ36 BC36 AL36:AN36 AX36 AX39:AX42 A36:A38 Z36:Z37 Z39:AJ42 E36:E42 V36:Y42">
    <cfRule type="cellIs" dxfId="8" priority="9" stopIfTrue="1" operator="equal">
      <formula>0</formula>
    </cfRule>
  </conditionalFormatting>
  <conditionalFormatting sqref="R36:U42">
    <cfRule type="cellIs" dxfId="7" priority="8" stopIfTrue="1" operator="equal">
      <formula>0</formula>
    </cfRule>
  </conditionalFormatting>
  <conditionalFormatting sqref="N36:Q42">
    <cfRule type="cellIs" dxfId="6" priority="7" stopIfTrue="1" operator="equal">
      <formula>0</formula>
    </cfRule>
  </conditionalFormatting>
  <conditionalFormatting sqref="J36:M38 J40:M41 J42:K42 M42">
    <cfRule type="cellIs" dxfId="5" priority="6" stopIfTrue="1" operator="equal">
      <formula>0</formula>
    </cfRule>
  </conditionalFormatting>
  <conditionalFormatting sqref="J39:L39">
    <cfRule type="cellIs" dxfId="4" priority="5" stopIfTrue="1" operator="equal">
      <formula>0</formula>
    </cfRule>
  </conditionalFormatting>
  <conditionalFormatting sqref="M39">
    <cfRule type="cellIs" dxfId="3" priority="4" stopIfTrue="1" operator="equal">
      <formula>0</formula>
    </cfRule>
  </conditionalFormatting>
  <conditionalFormatting sqref="F36:I38 F40:I41 F42:G42 I42">
    <cfRule type="cellIs" dxfId="2" priority="3" stopIfTrue="1" operator="equal">
      <formula>0</formula>
    </cfRule>
  </conditionalFormatting>
  <conditionalFormatting sqref="F39:H39">
    <cfRule type="cellIs" dxfId="1" priority="2" stopIfTrue="1" operator="equal">
      <formula>0</formula>
    </cfRule>
  </conditionalFormatting>
  <conditionalFormatting sqref="I39">
    <cfRule type="cellIs" dxfId="0" priority="1" stopIfTrue="1" operator="equal">
      <formula>0</formula>
    </cfRule>
  </conditionalFormatting>
  <printOptions horizontalCentered="1"/>
  <pageMargins left="0.3" right="0.3" top="0.4" bottom="0.6" header="0" footer="0.3"/>
  <pageSetup scale="66" orientation="landscape" r:id="rId1"/>
  <headerFooter alignWithMargins="0">
    <oddFooter>&amp;L&amp;F&amp;CPage 12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90"/>
  <sheetViews>
    <sheetView topLeftCell="A16" zoomScale="80" zoomScaleNormal="80" zoomScaleSheetLayoutView="80" zoomScalePageLayoutView="50" workbookViewId="0">
      <selection activeCell="H59" sqref="H59"/>
    </sheetView>
  </sheetViews>
  <sheetFormatPr defaultRowHeight="12.75" x14ac:dyDescent="0.2"/>
  <cols>
    <col min="1" max="1" width="5.28515625" style="893" customWidth="1"/>
    <col min="2" max="2" width="1" style="893" customWidth="1"/>
    <col min="3" max="3" width="2.7109375" style="82" customWidth="1"/>
    <col min="4" max="4" width="1.7109375" style="82" customWidth="1"/>
    <col min="5" max="11" width="23.28515625" style="82" customWidth="1"/>
    <col min="12" max="12" width="26.85546875" style="82" customWidth="1"/>
    <col min="13" max="13" width="38.140625" style="900" customWidth="1"/>
    <col min="14" max="14" width="3.7109375" style="900" customWidth="1"/>
    <col min="15" max="15" width="3.42578125" style="900" customWidth="1"/>
    <col min="16" max="16" width="10" style="900" customWidth="1"/>
    <col min="17" max="18" width="23.28515625" style="900" customWidth="1"/>
    <col min="19" max="19" width="20.5703125" style="900" bestFit="1" customWidth="1"/>
    <col min="20" max="20" width="16" style="900" customWidth="1"/>
    <col min="21" max="21" width="12.140625" style="900" customWidth="1"/>
    <col min="22" max="22" width="14.5703125" style="901" bestFit="1" customWidth="1"/>
    <col min="23" max="23" width="1.7109375" style="900" customWidth="1"/>
    <col min="24" max="24" width="2.7109375" style="900" customWidth="1"/>
    <col min="25" max="39" width="9.140625" style="900"/>
    <col min="40" max="16384" width="9.140625" style="82"/>
  </cols>
  <sheetData>
    <row r="2" spans="1:39" ht="20.25" x14ac:dyDescent="0.3">
      <c r="F2" s="83"/>
    </row>
    <row r="3" spans="1:39" ht="15.75" x14ac:dyDescent="0.25">
      <c r="P3" s="913"/>
    </row>
    <row r="4" spans="1:39" x14ac:dyDescent="0.2">
      <c r="P4" s="912"/>
    </row>
    <row r="5" spans="1:39" ht="15" x14ac:dyDescent="0.2">
      <c r="B5" s="84" t="s">
        <v>392</v>
      </c>
      <c r="D5" s="71"/>
      <c r="E5" s="71"/>
      <c r="F5" s="71"/>
      <c r="G5" s="71"/>
      <c r="H5" s="71"/>
      <c r="I5" s="71"/>
      <c r="J5" s="71"/>
      <c r="K5" s="71"/>
      <c r="L5" s="71"/>
      <c r="M5" s="411"/>
      <c r="N5" s="902"/>
      <c r="W5" s="411"/>
    </row>
    <row r="6" spans="1:39" ht="15" x14ac:dyDescent="0.2">
      <c r="B6" s="84" t="s">
        <v>58</v>
      </c>
      <c r="D6" s="71"/>
      <c r="E6" s="71"/>
      <c r="F6" s="71"/>
      <c r="G6" s="71"/>
      <c r="H6" s="71"/>
      <c r="I6" s="71"/>
      <c r="J6" s="71"/>
      <c r="K6" s="71"/>
      <c r="L6" s="71"/>
      <c r="M6" s="903"/>
      <c r="N6" s="902"/>
      <c r="Q6" s="902"/>
      <c r="W6" s="411"/>
    </row>
    <row r="7" spans="1:39" x14ac:dyDescent="0.2">
      <c r="D7" s="71"/>
      <c r="E7" s="71"/>
      <c r="F7" s="71"/>
      <c r="G7" s="71"/>
      <c r="H7" s="71"/>
      <c r="I7" s="71"/>
      <c r="J7" s="71"/>
      <c r="K7" s="71"/>
      <c r="L7" s="71"/>
      <c r="M7" s="903"/>
      <c r="N7" s="411"/>
      <c r="Q7" s="411"/>
      <c r="W7" s="411"/>
    </row>
    <row r="8" spans="1:39" ht="16.5" customHeight="1" x14ac:dyDescent="0.2">
      <c r="A8" s="908">
        <v>-1</v>
      </c>
      <c r="B8" s="908"/>
      <c r="C8" s="514" t="s">
        <v>275</v>
      </c>
      <c r="D8" s="514"/>
      <c r="E8" s="514"/>
      <c r="F8" s="514"/>
      <c r="G8" s="514"/>
      <c r="H8" s="514"/>
      <c r="I8" s="514"/>
      <c r="J8" s="514"/>
      <c r="K8" s="514"/>
      <c r="L8" s="514"/>
      <c r="M8" s="514"/>
      <c r="N8" s="65"/>
      <c r="O8" s="65"/>
      <c r="P8" s="65"/>
      <c r="Q8" s="65"/>
      <c r="R8" s="65"/>
      <c r="S8" s="65"/>
      <c r="T8" s="65"/>
      <c r="U8" s="65"/>
      <c r="V8" s="65"/>
      <c r="W8" s="65"/>
      <c r="X8" s="65"/>
      <c r="Y8" s="65"/>
      <c r="Z8" s="65"/>
      <c r="AA8" s="65"/>
      <c r="AB8" s="65"/>
      <c r="AC8" s="65"/>
      <c r="AD8" s="65"/>
      <c r="AE8" s="65"/>
      <c r="AF8" s="65"/>
      <c r="AG8" s="65"/>
      <c r="AH8" s="65"/>
      <c r="AI8" s="65"/>
      <c r="AJ8" s="65"/>
    </row>
    <row r="9" spans="1:39" ht="16.5" customHeight="1" x14ac:dyDescent="0.2">
      <c r="A9" s="908"/>
      <c r="B9" s="908"/>
      <c r="C9" s="514" t="s">
        <v>422</v>
      </c>
      <c r="D9" s="514"/>
      <c r="E9" s="514"/>
      <c r="F9" s="514"/>
      <c r="G9" s="514"/>
      <c r="H9" s="514"/>
      <c r="I9" s="514"/>
      <c r="J9" s="514"/>
      <c r="K9" s="514"/>
      <c r="L9" s="514"/>
      <c r="M9" s="514"/>
      <c r="N9" s="65"/>
      <c r="O9" s="65"/>
      <c r="P9" s="65"/>
      <c r="Q9" s="65"/>
      <c r="R9" s="65"/>
      <c r="S9" s="65"/>
      <c r="T9" s="65"/>
      <c r="U9" s="65"/>
      <c r="V9" s="65"/>
      <c r="W9" s="65"/>
      <c r="X9" s="65"/>
      <c r="Y9" s="65"/>
      <c r="Z9" s="65"/>
      <c r="AA9" s="65"/>
      <c r="AB9" s="65"/>
      <c r="AC9" s="65"/>
      <c r="AD9" s="65"/>
      <c r="AE9" s="65"/>
      <c r="AF9" s="65"/>
      <c r="AG9" s="65"/>
      <c r="AH9" s="65"/>
      <c r="AI9" s="65"/>
      <c r="AJ9" s="65"/>
    </row>
    <row r="10" spans="1:39" s="86" customFormat="1" ht="16.5" customHeight="1" x14ac:dyDescent="0.2">
      <c r="A10" s="908">
        <v>-2</v>
      </c>
      <c r="B10" s="908"/>
      <c r="C10" s="519" t="s">
        <v>440</v>
      </c>
      <c r="D10" s="894"/>
      <c r="E10" s="894"/>
      <c r="F10" s="894"/>
      <c r="G10" s="894"/>
      <c r="H10" s="894"/>
      <c r="I10" s="894"/>
      <c r="J10" s="894"/>
      <c r="K10" s="894"/>
      <c r="L10" s="894"/>
      <c r="M10" s="51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517"/>
      <c r="AK10" s="894"/>
      <c r="AL10" s="894"/>
      <c r="AM10" s="894"/>
    </row>
    <row r="11" spans="1:39" s="86" customFormat="1" ht="16.5" customHeight="1" x14ac:dyDescent="0.2">
      <c r="A11" s="908"/>
      <c r="B11" s="908"/>
      <c r="C11" s="519" t="s">
        <v>439</v>
      </c>
      <c r="D11" s="894"/>
      <c r="E11" s="894"/>
      <c r="F11" s="894"/>
      <c r="G11" s="894"/>
      <c r="H11" s="894"/>
      <c r="I11" s="894"/>
      <c r="J11" s="894"/>
      <c r="K11" s="894"/>
      <c r="L11" s="894"/>
      <c r="M11" s="51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517"/>
      <c r="AK11" s="894"/>
      <c r="AL11" s="894"/>
      <c r="AM11" s="894"/>
    </row>
    <row r="12" spans="1:39" ht="16.5" customHeight="1" x14ac:dyDescent="0.2">
      <c r="A12" s="908">
        <v>-3</v>
      </c>
      <c r="B12" s="908"/>
      <c r="C12" s="514" t="s">
        <v>437</v>
      </c>
      <c r="D12" s="514"/>
      <c r="E12" s="514"/>
      <c r="F12" s="514"/>
      <c r="G12" s="514"/>
      <c r="H12" s="514"/>
      <c r="I12" s="514"/>
      <c r="J12" s="514"/>
      <c r="K12" s="514"/>
      <c r="L12" s="514"/>
      <c r="M12" s="514"/>
      <c r="N12" s="85"/>
      <c r="O12" s="85"/>
      <c r="P12" s="85"/>
      <c r="Q12" s="85"/>
      <c r="R12" s="85"/>
      <c r="S12" s="85"/>
      <c r="T12" s="85"/>
      <c r="U12" s="85"/>
      <c r="V12" s="85"/>
      <c r="W12" s="85"/>
      <c r="X12" s="85"/>
      <c r="Y12" s="85"/>
      <c r="Z12" s="85"/>
      <c r="AA12" s="85"/>
      <c r="AB12" s="85"/>
      <c r="AC12" s="85"/>
      <c r="AD12" s="85"/>
      <c r="AE12" s="85"/>
      <c r="AF12" s="85"/>
      <c r="AG12" s="85"/>
      <c r="AH12" s="85"/>
      <c r="AI12" s="85"/>
      <c r="AJ12" s="85"/>
    </row>
    <row r="13" spans="1:39" ht="16.5" customHeight="1" x14ac:dyDescent="0.2">
      <c r="A13" s="908"/>
      <c r="B13" s="908"/>
      <c r="C13" s="514" t="s">
        <v>423</v>
      </c>
      <c r="D13" s="514"/>
      <c r="E13" s="514"/>
      <c r="F13" s="514"/>
      <c r="G13" s="514"/>
      <c r="H13" s="514"/>
      <c r="I13" s="514"/>
      <c r="J13" s="514"/>
      <c r="K13" s="514"/>
      <c r="L13" s="514"/>
      <c r="M13" s="514"/>
      <c r="N13" s="85"/>
      <c r="O13" s="85"/>
      <c r="P13" s="85"/>
      <c r="Q13" s="85"/>
      <c r="R13" s="85"/>
      <c r="S13" s="85"/>
      <c r="T13" s="85"/>
      <c r="U13" s="85"/>
      <c r="V13" s="85"/>
      <c r="W13" s="85"/>
      <c r="X13" s="85"/>
      <c r="Y13" s="85"/>
      <c r="Z13" s="85"/>
      <c r="AA13" s="85"/>
      <c r="AB13" s="85"/>
      <c r="AC13" s="85"/>
      <c r="AD13" s="85"/>
      <c r="AE13" s="85"/>
      <c r="AF13" s="85"/>
      <c r="AG13" s="85"/>
      <c r="AH13" s="85"/>
      <c r="AI13" s="85"/>
      <c r="AJ13" s="85"/>
    </row>
    <row r="14" spans="1:39" ht="16.5" customHeight="1" x14ac:dyDescent="0.2">
      <c r="A14" s="908">
        <v>-4</v>
      </c>
      <c r="B14" s="908"/>
      <c r="C14" s="514" t="s">
        <v>459</v>
      </c>
      <c r="D14" s="514"/>
      <c r="E14" s="514"/>
      <c r="F14" s="514"/>
      <c r="G14" s="514"/>
      <c r="H14" s="514"/>
      <c r="I14" s="514"/>
      <c r="J14" s="514"/>
      <c r="K14" s="514"/>
      <c r="L14" s="514"/>
      <c r="M14" s="514"/>
      <c r="N14" s="65"/>
      <c r="O14" s="65"/>
      <c r="P14" s="65"/>
      <c r="Q14" s="65"/>
      <c r="R14" s="65"/>
      <c r="S14" s="65"/>
      <c r="T14" s="65"/>
      <c r="U14" s="65"/>
      <c r="V14" s="65"/>
      <c r="W14" s="65"/>
      <c r="X14" s="65"/>
      <c r="Y14" s="65"/>
      <c r="Z14" s="65"/>
      <c r="AA14" s="65"/>
      <c r="AB14" s="65"/>
      <c r="AC14" s="65"/>
      <c r="AD14" s="65"/>
      <c r="AE14" s="65"/>
      <c r="AF14" s="65"/>
      <c r="AG14" s="65"/>
      <c r="AH14" s="65"/>
      <c r="AI14" s="65"/>
      <c r="AJ14" s="65"/>
    </row>
    <row r="15" spans="1:39" ht="16.5" customHeight="1" x14ac:dyDescent="0.2">
      <c r="A15" s="908">
        <v>-5</v>
      </c>
      <c r="B15" s="908"/>
      <c r="C15" s="514" t="s">
        <v>365</v>
      </c>
      <c r="D15" s="514"/>
      <c r="E15" s="514"/>
      <c r="F15" s="514"/>
      <c r="G15" s="514"/>
      <c r="H15" s="514"/>
      <c r="I15" s="514"/>
      <c r="J15" s="514"/>
      <c r="K15" s="514"/>
      <c r="L15" s="514"/>
      <c r="M15" s="514"/>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row>
    <row r="16" spans="1:39" ht="16.5" customHeight="1" x14ac:dyDescent="0.2">
      <c r="A16" s="908">
        <v>-6</v>
      </c>
      <c r="B16" s="908"/>
      <c r="C16" s="514" t="s">
        <v>366</v>
      </c>
      <c r="D16" s="514"/>
      <c r="E16" s="514"/>
      <c r="F16" s="514"/>
      <c r="G16" s="514"/>
      <c r="H16" s="514"/>
      <c r="I16" s="514"/>
      <c r="J16" s="514"/>
      <c r="K16" s="514"/>
      <c r="L16" s="514"/>
      <c r="M16" s="514"/>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row>
    <row r="17" spans="1:47" ht="16.5" customHeight="1" x14ac:dyDescent="0.2">
      <c r="A17" s="908">
        <v>-7</v>
      </c>
      <c r="B17" s="908"/>
      <c r="C17" s="2399" t="s">
        <v>460</v>
      </c>
      <c r="D17" s="514"/>
      <c r="E17" s="514"/>
      <c r="F17" s="514"/>
      <c r="G17" s="514"/>
      <c r="H17" s="514"/>
      <c r="I17" s="514"/>
      <c r="J17" s="514"/>
      <c r="K17" s="514"/>
      <c r="L17" s="514"/>
      <c r="M17" s="514"/>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row>
    <row r="18" spans="1:47" ht="16.5" customHeight="1" x14ac:dyDescent="0.2">
      <c r="A18" s="908"/>
      <c r="B18" s="908"/>
      <c r="C18" s="2399" t="s">
        <v>461</v>
      </c>
      <c r="D18" s="514"/>
      <c r="E18" s="514"/>
      <c r="F18" s="514"/>
      <c r="G18" s="514"/>
      <c r="H18" s="514"/>
      <c r="I18" s="514"/>
      <c r="J18" s="514"/>
      <c r="K18" s="514"/>
      <c r="L18" s="514"/>
      <c r="M18" s="514"/>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row>
    <row r="19" spans="1:47" ht="16.5" customHeight="1" x14ac:dyDescent="0.2">
      <c r="A19" s="908">
        <v>-8</v>
      </c>
      <c r="B19" s="908"/>
      <c r="C19" s="514" t="s">
        <v>424</v>
      </c>
      <c r="D19" s="514"/>
      <c r="E19" s="514"/>
      <c r="F19" s="514"/>
      <c r="G19" s="514"/>
      <c r="H19" s="514"/>
      <c r="I19" s="514"/>
      <c r="J19" s="514"/>
      <c r="K19" s="514"/>
      <c r="L19" s="514"/>
      <c r="M19" s="514"/>
      <c r="N19" s="65"/>
      <c r="O19" s="65"/>
      <c r="P19" s="65"/>
      <c r="Q19" s="65"/>
      <c r="R19" s="65"/>
      <c r="S19" s="65"/>
      <c r="T19" s="65"/>
      <c r="U19" s="65"/>
      <c r="V19" s="65"/>
      <c r="W19" s="65"/>
      <c r="X19" s="65"/>
      <c r="Y19" s="65"/>
      <c r="Z19" s="65"/>
      <c r="AA19" s="65"/>
      <c r="AB19" s="65"/>
      <c r="AC19" s="65"/>
      <c r="AD19" s="65"/>
      <c r="AE19" s="65"/>
      <c r="AF19" s="65"/>
      <c r="AG19" s="65"/>
      <c r="AH19" s="65"/>
      <c r="AI19" s="65"/>
      <c r="AJ19" s="65"/>
    </row>
    <row r="20" spans="1:47" ht="16.5" customHeight="1" x14ac:dyDescent="0.2">
      <c r="A20" s="908"/>
      <c r="B20" s="908"/>
      <c r="C20" s="514" t="s">
        <v>425</v>
      </c>
      <c r="D20" s="514"/>
      <c r="E20" s="514"/>
      <c r="F20" s="514"/>
      <c r="G20" s="514"/>
      <c r="H20" s="514"/>
      <c r="I20" s="514"/>
      <c r="J20" s="514"/>
      <c r="K20" s="514"/>
      <c r="L20" s="514"/>
      <c r="M20" s="514"/>
      <c r="N20" s="65"/>
      <c r="O20" s="65"/>
      <c r="P20" s="65"/>
      <c r="Q20" s="65"/>
      <c r="R20" s="65"/>
      <c r="S20" s="65"/>
      <c r="T20" s="65"/>
      <c r="U20" s="65"/>
      <c r="V20" s="65"/>
      <c r="W20" s="65"/>
      <c r="X20" s="65"/>
      <c r="Y20" s="65"/>
      <c r="Z20" s="65"/>
      <c r="AA20" s="65"/>
      <c r="AB20" s="65"/>
      <c r="AC20" s="65"/>
      <c r="AD20" s="65"/>
      <c r="AE20" s="65"/>
      <c r="AF20" s="65"/>
      <c r="AG20" s="65"/>
      <c r="AH20" s="65"/>
      <c r="AI20" s="65"/>
      <c r="AJ20" s="65"/>
    </row>
    <row r="21" spans="1:47" ht="16.5" customHeight="1" x14ac:dyDescent="0.2">
      <c r="A21" s="908">
        <v>-9</v>
      </c>
      <c r="B21" s="908"/>
      <c r="C21" s="514" t="s">
        <v>233</v>
      </c>
      <c r="D21" s="514"/>
      <c r="E21" s="514"/>
      <c r="F21" s="514"/>
      <c r="G21" s="514"/>
      <c r="H21" s="514"/>
      <c r="I21" s="514"/>
      <c r="J21" s="514"/>
      <c r="K21" s="514"/>
      <c r="L21" s="514"/>
      <c r="M21" s="514"/>
      <c r="N21" s="65"/>
      <c r="O21" s="65"/>
      <c r="P21" s="65"/>
      <c r="Q21" s="65"/>
      <c r="R21" s="65"/>
      <c r="S21" s="65"/>
      <c r="T21" s="65"/>
      <c r="U21" s="65"/>
      <c r="V21" s="65"/>
      <c r="W21" s="65"/>
      <c r="X21" s="65"/>
      <c r="Y21" s="65"/>
      <c r="Z21" s="65"/>
      <c r="AA21" s="65"/>
      <c r="AB21" s="65"/>
      <c r="AC21" s="65"/>
      <c r="AD21" s="65"/>
      <c r="AE21" s="65"/>
      <c r="AF21" s="65"/>
      <c r="AG21" s="65"/>
      <c r="AH21" s="65"/>
      <c r="AI21" s="65"/>
      <c r="AJ21" s="65"/>
    </row>
    <row r="22" spans="1:47" ht="16.5" customHeight="1" x14ac:dyDescent="0.2">
      <c r="A22" s="908">
        <v>-10</v>
      </c>
      <c r="B22" s="908"/>
      <c r="C22" s="856" t="s">
        <v>418</v>
      </c>
      <c r="D22" s="856"/>
      <c r="E22" s="856"/>
      <c r="F22" s="856"/>
      <c r="G22" s="856"/>
      <c r="H22" s="856"/>
      <c r="I22" s="856"/>
      <c r="J22" s="856"/>
      <c r="K22" s="856"/>
      <c r="L22" s="856"/>
      <c r="M22" s="856"/>
      <c r="N22" s="65"/>
      <c r="O22" s="65"/>
      <c r="P22" s="65"/>
      <c r="Q22" s="65"/>
      <c r="R22" s="65"/>
      <c r="S22" s="65"/>
      <c r="T22" s="65"/>
      <c r="U22" s="65"/>
      <c r="V22" s="65"/>
      <c r="W22" s="65"/>
      <c r="X22" s="65"/>
      <c r="Y22" s="65"/>
      <c r="Z22" s="65"/>
      <c r="AA22" s="65"/>
      <c r="AB22" s="65"/>
      <c r="AC22" s="65"/>
      <c r="AD22" s="65"/>
      <c r="AE22" s="65"/>
      <c r="AF22" s="65"/>
      <c r="AG22" s="65"/>
      <c r="AH22" s="65"/>
      <c r="AI22" s="65"/>
      <c r="AJ22" s="65"/>
    </row>
    <row r="23" spans="1:47" ht="16.5" customHeight="1" x14ac:dyDescent="0.2">
      <c r="A23" s="908">
        <v>-11</v>
      </c>
      <c r="B23" s="908"/>
      <c r="C23" s="514" t="s">
        <v>426</v>
      </c>
      <c r="D23" s="514"/>
      <c r="E23" s="514"/>
      <c r="F23" s="514"/>
      <c r="G23" s="514"/>
      <c r="H23" s="514"/>
      <c r="I23" s="514"/>
      <c r="J23" s="514"/>
      <c r="K23" s="514"/>
      <c r="L23" s="514"/>
      <c r="M23" s="514"/>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47" ht="16.5" customHeight="1" x14ac:dyDescent="0.2">
      <c r="A24" s="908">
        <v>-12</v>
      </c>
      <c r="B24" s="908"/>
      <c r="C24" s="514" t="s">
        <v>427</v>
      </c>
      <c r="D24" s="514"/>
      <c r="E24" s="514"/>
      <c r="F24" s="514"/>
      <c r="G24" s="514"/>
      <c r="H24" s="514"/>
      <c r="I24" s="514"/>
      <c r="J24" s="514"/>
      <c r="K24" s="514"/>
      <c r="L24" s="514"/>
      <c r="M24" s="514"/>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47" ht="16.5" customHeight="1" x14ac:dyDescent="0.2">
      <c r="A25" s="908">
        <v>-13</v>
      </c>
      <c r="B25" s="908"/>
      <c r="C25" s="514" t="s">
        <v>235</v>
      </c>
      <c r="D25" s="514"/>
      <c r="E25" s="514"/>
      <c r="F25" s="514"/>
      <c r="G25" s="514"/>
      <c r="H25" s="514"/>
      <c r="I25" s="514"/>
      <c r="J25" s="514"/>
      <c r="K25" s="514"/>
      <c r="L25" s="514"/>
      <c r="M25" s="514"/>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row>
    <row r="26" spans="1:47" ht="16.5" customHeight="1" x14ac:dyDescent="0.2">
      <c r="A26" s="908">
        <v>-14</v>
      </c>
      <c r="B26" s="908"/>
      <c r="C26" s="514" t="s">
        <v>371</v>
      </c>
      <c r="D26" s="514"/>
      <c r="E26" s="514"/>
      <c r="F26" s="514"/>
      <c r="G26" s="514"/>
      <c r="H26" s="514"/>
      <c r="I26" s="514"/>
      <c r="J26" s="514"/>
      <c r="K26" s="514"/>
      <c r="L26" s="514"/>
      <c r="M26" s="514"/>
      <c r="N26" s="906"/>
      <c r="O26" s="64"/>
      <c r="P26" s="64"/>
      <c r="Q26" s="64"/>
      <c r="R26" s="64"/>
      <c r="S26" s="64"/>
      <c r="T26" s="64"/>
      <c r="U26" s="64"/>
      <c r="V26" s="64"/>
      <c r="W26" s="64"/>
      <c r="X26" s="64"/>
      <c r="Y26" s="906"/>
      <c r="Z26" s="64"/>
      <c r="AA26" s="64"/>
      <c r="AB26" s="64"/>
      <c r="AC26" s="64"/>
      <c r="AD26" s="64"/>
      <c r="AE26" s="64"/>
      <c r="AF26" s="64"/>
      <c r="AG26" s="64"/>
      <c r="AH26" s="64"/>
      <c r="AI26" s="64"/>
      <c r="AJ26" s="906"/>
    </row>
    <row r="27" spans="1:47" ht="16.5" customHeight="1" x14ac:dyDescent="0.2">
      <c r="A27" s="908">
        <v>-15</v>
      </c>
      <c r="B27" s="908"/>
      <c r="C27" s="514" t="s">
        <v>59</v>
      </c>
      <c r="D27" s="514"/>
      <c r="E27" s="514"/>
      <c r="F27" s="514"/>
      <c r="G27" s="514"/>
      <c r="H27" s="514"/>
      <c r="I27" s="514"/>
      <c r="J27" s="514"/>
      <c r="K27" s="514"/>
      <c r="L27" s="514"/>
      <c r="M27" s="514"/>
      <c r="N27" s="906"/>
      <c r="O27" s="64"/>
      <c r="P27" s="64"/>
      <c r="Q27" s="64"/>
      <c r="R27" s="64"/>
      <c r="S27" s="64"/>
      <c r="T27" s="64"/>
      <c r="U27" s="64"/>
      <c r="V27" s="64"/>
      <c r="W27" s="64"/>
      <c r="X27" s="64"/>
      <c r="Y27" s="906"/>
      <c r="Z27" s="64"/>
      <c r="AA27" s="64"/>
      <c r="AB27" s="64"/>
      <c r="AC27" s="64"/>
      <c r="AD27" s="64"/>
      <c r="AE27" s="64"/>
      <c r="AF27" s="64"/>
      <c r="AG27" s="64"/>
      <c r="AH27" s="64"/>
      <c r="AI27" s="64"/>
      <c r="AJ27" s="906"/>
    </row>
    <row r="28" spans="1:47" ht="16.5" customHeight="1" x14ac:dyDescent="0.2">
      <c r="A28" s="909"/>
      <c r="B28" s="909"/>
      <c r="C28" s="514" t="s">
        <v>198</v>
      </c>
      <c r="D28" s="514"/>
      <c r="E28" s="514"/>
      <c r="F28" s="856"/>
      <c r="G28" s="514"/>
      <c r="H28" s="514"/>
      <c r="I28" s="514"/>
      <c r="J28" s="514"/>
      <c r="K28" s="514"/>
      <c r="L28" s="514"/>
      <c r="M28" s="514"/>
      <c r="N28" s="906"/>
      <c r="O28" s="65"/>
      <c r="P28" s="65"/>
      <c r="Q28" s="65"/>
      <c r="R28" s="65"/>
      <c r="S28" s="65"/>
      <c r="T28" s="65"/>
      <c r="U28" s="65"/>
      <c r="V28" s="65"/>
      <c r="W28" s="65"/>
      <c r="X28" s="65"/>
      <c r="Y28" s="906"/>
      <c r="Z28" s="65"/>
      <c r="AA28" s="65"/>
      <c r="AB28" s="65"/>
      <c r="AC28" s="65"/>
      <c r="AD28" s="65"/>
      <c r="AE28" s="65"/>
      <c r="AF28" s="65"/>
      <c r="AG28" s="65"/>
      <c r="AH28" s="65"/>
      <c r="AI28" s="65"/>
      <c r="AJ28" s="906"/>
      <c r="AK28" s="894"/>
      <c r="AL28" s="894"/>
      <c r="AM28" s="894"/>
      <c r="AN28" s="86"/>
      <c r="AO28" s="86"/>
      <c r="AP28" s="86"/>
      <c r="AQ28" s="86"/>
      <c r="AR28" s="86"/>
      <c r="AS28" s="86"/>
      <c r="AT28" s="86"/>
      <c r="AU28" s="86"/>
    </row>
    <row r="29" spans="1:47" ht="16.5" customHeight="1" x14ac:dyDescent="0.2">
      <c r="A29" s="908">
        <v>-16</v>
      </c>
      <c r="B29" s="908"/>
      <c r="C29" s="895" t="s">
        <v>443</v>
      </c>
      <c r="D29" s="895"/>
      <c r="E29" s="895"/>
      <c r="F29" s="895"/>
      <c r="G29" s="895"/>
      <c r="H29" s="895"/>
      <c r="I29" s="895"/>
      <c r="J29" s="895"/>
      <c r="K29" s="895"/>
      <c r="L29" s="895"/>
      <c r="M29" s="895"/>
      <c r="N29" s="906"/>
      <c r="O29" s="65"/>
      <c r="P29" s="65"/>
      <c r="Q29" s="65"/>
      <c r="R29" s="65"/>
      <c r="S29" s="65"/>
      <c r="T29" s="65"/>
      <c r="U29" s="65"/>
      <c r="V29" s="65"/>
      <c r="W29" s="65"/>
      <c r="X29" s="65"/>
      <c r="Y29" s="906"/>
      <c r="Z29" s="65"/>
      <c r="AA29" s="65"/>
      <c r="AB29" s="65"/>
      <c r="AC29" s="65"/>
      <c r="AD29" s="65"/>
      <c r="AE29" s="65"/>
      <c r="AF29" s="65"/>
      <c r="AG29" s="65"/>
      <c r="AH29" s="65"/>
      <c r="AI29" s="65"/>
      <c r="AJ29" s="906"/>
      <c r="AK29" s="894"/>
      <c r="AL29" s="894"/>
      <c r="AM29" s="894"/>
      <c r="AN29" s="86"/>
      <c r="AO29" s="86"/>
      <c r="AP29" s="86"/>
      <c r="AQ29" s="86"/>
      <c r="AR29" s="86"/>
      <c r="AS29" s="86"/>
      <c r="AT29" s="86"/>
      <c r="AU29" s="86"/>
    </row>
    <row r="30" spans="1:47" ht="16.5" customHeight="1" x14ac:dyDescent="0.2">
      <c r="A30" s="908">
        <v>-17</v>
      </c>
      <c r="B30" s="908"/>
      <c r="C30" s="895" t="s">
        <v>428</v>
      </c>
      <c r="D30" s="895"/>
      <c r="E30" s="895"/>
      <c r="F30" s="895"/>
      <c r="G30" s="895"/>
      <c r="H30" s="895"/>
      <c r="I30" s="895"/>
      <c r="J30" s="895"/>
      <c r="K30" s="895"/>
      <c r="L30" s="895"/>
      <c r="M30" s="895"/>
      <c r="N30" s="906"/>
      <c r="O30" s="65"/>
      <c r="P30" s="65"/>
      <c r="Q30" s="65"/>
      <c r="R30" s="65"/>
      <c r="S30" s="65"/>
      <c r="T30" s="65"/>
      <c r="U30" s="65"/>
      <c r="V30" s="65"/>
      <c r="W30" s="65"/>
      <c r="X30" s="65"/>
      <c r="Y30" s="906"/>
      <c r="Z30" s="65"/>
      <c r="AA30" s="65"/>
      <c r="AB30" s="65"/>
      <c r="AC30" s="65"/>
      <c r="AD30" s="65"/>
      <c r="AE30" s="65"/>
      <c r="AF30" s="65"/>
      <c r="AG30" s="65"/>
      <c r="AH30" s="65"/>
      <c r="AI30" s="65"/>
      <c r="AJ30" s="906"/>
      <c r="AK30" s="894"/>
      <c r="AL30" s="894"/>
      <c r="AM30" s="894"/>
      <c r="AN30" s="86"/>
      <c r="AO30" s="86"/>
      <c r="AP30" s="86"/>
      <c r="AQ30" s="86"/>
      <c r="AR30" s="86"/>
      <c r="AS30" s="86"/>
      <c r="AT30" s="86"/>
      <c r="AU30" s="86"/>
    </row>
    <row r="31" spans="1:47" ht="16.5" customHeight="1" x14ac:dyDescent="0.2">
      <c r="A31" s="908">
        <v>-18</v>
      </c>
      <c r="B31" s="908"/>
      <c r="C31" s="514" t="s">
        <v>419</v>
      </c>
      <c r="D31" s="514"/>
      <c r="E31" s="514"/>
      <c r="F31" s="514"/>
      <c r="G31" s="514"/>
      <c r="H31" s="514"/>
      <c r="I31" s="514"/>
      <c r="J31" s="514"/>
      <c r="K31" s="514"/>
      <c r="L31" s="514"/>
      <c r="M31" s="514"/>
      <c r="N31" s="906"/>
      <c r="O31" s="65"/>
      <c r="P31" s="65"/>
      <c r="Q31" s="65"/>
      <c r="R31" s="65"/>
      <c r="S31" s="65"/>
      <c r="T31" s="65"/>
      <c r="U31" s="65"/>
      <c r="V31" s="65"/>
      <c r="W31" s="65"/>
      <c r="X31" s="65"/>
      <c r="Y31" s="906"/>
      <c r="Z31" s="65"/>
      <c r="AA31" s="65"/>
      <c r="AB31" s="65"/>
      <c r="AC31" s="65"/>
      <c r="AD31" s="65"/>
      <c r="AE31" s="65"/>
      <c r="AF31" s="65"/>
      <c r="AG31" s="65"/>
      <c r="AH31" s="65"/>
      <c r="AI31" s="65"/>
      <c r="AJ31" s="906"/>
      <c r="AK31" s="65"/>
      <c r="AL31" s="65"/>
      <c r="AM31" s="894"/>
      <c r="AN31" s="86"/>
      <c r="AO31" s="86"/>
      <c r="AP31" s="86"/>
      <c r="AQ31" s="86"/>
      <c r="AR31" s="86"/>
      <c r="AS31" s="86"/>
      <c r="AT31" s="86"/>
      <c r="AU31" s="86"/>
    </row>
    <row r="32" spans="1:47" ht="16.5" customHeight="1" x14ac:dyDescent="0.2">
      <c r="A32" s="908"/>
      <c r="B32" s="908"/>
      <c r="C32" s="514" t="s">
        <v>420</v>
      </c>
      <c r="D32" s="514"/>
      <c r="E32" s="514"/>
      <c r="F32" s="514"/>
      <c r="G32" s="514"/>
      <c r="H32" s="514"/>
      <c r="I32" s="514"/>
      <c r="J32" s="514"/>
      <c r="K32" s="514"/>
      <c r="L32" s="514"/>
      <c r="M32" s="514"/>
      <c r="N32" s="906"/>
      <c r="O32" s="65"/>
      <c r="P32" s="65"/>
      <c r="Q32" s="65"/>
      <c r="R32" s="65"/>
      <c r="S32" s="65"/>
      <c r="T32" s="65"/>
      <c r="U32" s="65"/>
      <c r="V32" s="65"/>
      <c r="W32" s="65"/>
      <c r="X32" s="65"/>
      <c r="Y32" s="906"/>
      <c r="Z32" s="65"/>
      <c r="AA32" s="65"/>
      <c r="AB32" s="65"/>
      <c r="AC32" s="65"/>
      <c r="AD32" s="65"/>
      <c r="AE32" s="65"/>
      <c r="AF32" s="65"/>
      <c r="AG32" s="65"/>
      <c r="AH32" s="65"/>
      <c r="AI32" s="65"/>
      <c r="AJ32" s="906"/>
      <c r="AK32" s="65"/>
      <c r="AL32" s="65"/>
      <c r="AM32" s="894"/>
      <c r="AN32" s="86"/>
      <c r="AO32" s="86"/>
      <c r="AP32" s="86"/>
      <c r="AQ32" s="86"/>
      <c r="AR32" s="86"/>
      <c r="AS32" s="86"/>
      <c r="AT32" s="86"/>
      <c r="AU32" s="86"/>
    </row>
    <row r="33" spans="1:47" ht="16.5" customHeight="1" x14ac:dyDescent="0.2">
      <c r="A33" s="908">
        <v>-19</v>
      </c>
      <c r="B33" s="908"/>
      <c r="C33" s="514" t="s">
        <v>216</v>
      </c>
      <c r="D33" s="896"/>
      <c r="E33" s="896"/>
      <c r="F33" s="896"/>
      <c r="G33" s="896"/>
      <c r="H33" s="514"/>
      <c r="I33" s="514"/>
      <c r="J33" s="514"/>
      <c r="K33" s="514"/>
      <c r="L33" s="514"/>
      <c r="M33" s="514"/>
      <c r="N33" s="906"/>
      <c r="O33" s="65"/>
      <c r="P33" s="65"/>
      <c r="Q33" s="65"/>
      <c r="R33" s="65"/>
      <c r="S33" s="65"/>
      <c r="T33" s="65"/>
      <c r="U33" s="65"/>
      <c r="V33" s="65"/>
      <c r="W33" s="65"/>
      <c r="X33" s="65"/>
      <c r="Y33" s="906"/>
      <c r="Z33" s="65"/>
      <c r="AA33" s="65"/>
      <c r="AB33" s="65"/>
      <c r="AC33" s="65"/>
      <c r="AD33" s="65"/>
      <c r="AE33" s="65"/>
      <c r="AF33" s="65"/>
      <c r="AG33" s="65"/>
      <c r="AH33" s="65"/>
      <c r="AI33" s="65"/>
      <c r="AJ33" s="906"/>
      <c r="AK33" s="65"/>
      <c r="AL33" s="65"/>
      <c r="AM33" s="894"/>
      <c r="AN33" s="86"/>
      <c r="AO33" s="86"/>
      <c r="AP33" s="86"/>
      <c r="AQ33" s="86"/>
      <c r="AR33" s="86"/>
      <c r="AS33" s="86"/>
      <c r="AT33" s="86"/>
      <c r="AU33" s="86"/>
    </row>
    <row r="34" spans="1:47" ht="16.5" customHeight="1" x14ac:dyDescent="0.2">
      <c r="A34" s="910"/>
      <c r="B34" s="910"/>
      <c r="C34" s="514" t="s">
        <v>217</v>
      </c>
      <c r="D34" s="896"/>
      <c r="E34" s="896"/>
      <c r="F34" s="896"/>
      <c r="G34" s="896"/>
      <c r="H34" s="514"/>
      <c r="I34" s="514"/>
      <c r="J34" s="514"/>
      <c r="K34" s="514"/>
      <c r="L34" s="514"/>
      <c r="M34" s="514"/>
      <c r="N34" s="906"/>
      <c r="O34" s="65"/>
      <c r="P34" s="65"/>
      <c r="Q34" s="65"/>
      <c r="R34" s="65"/>
      <c r="S34" s="65"/>
      <c r="T34" s="65"/>
      <c r="U34" s="65"/>
      <c r="V34" s="65"/>
      <c r="W34" s="65"/>
      <c r="X34" s="65"/>
      <c r="Y34" s="906"/>
      <c r="Z34" s="65"/>
      <c r="AA34" s="65"/>
      <c r="AB34" s="65"/>
      <c r="AC34" s="65"/>
      <c r="AD34" s="65"/>
      <c r="AE34" s="65"/>
      <c r="AF34" s="65"/>
      <c r="AG34" s="65"/>
      <c r="AH34" s="65"/>
      <c r="AI34" s="65"/>
      <c r="AJ34" s="906"/>
      <c r="AK34" s="65"/>
      <c r="AL34" s="65"/>
      <c r="AM34" s="894"/>
      <c r="AN34" s="86"/>
      <c r="AO34" s="86"/>
      <c r="AP34" s="86"/>
      <c r="AQ34" s="86"/>
      <c r="AR34" s="86"/>
      <c r="AS34" s="86"/>
      <c r="AT34" s="86"/>
      <c r="AU34" s="86"/>
    </row>
    <row r="35" spans="1:47" ht="16.5" customHeight="1" x14ac:dyDescent="0.2">
      <c r="A35" s="908">
        <v>-20</v>
      </c>
      <c r="B35" s="908"/>
      <c r="C35" s="514" t="s">
        <v>429</v>
      </c>
      <c r="D35" s="896"/>
      <c r="E35" s="896"/>
      <c r="F35" s="896"/>
      <c r="G35" s="896"/>
      <c r="H35" s="514"/>
      <c r="I35" s="514"/>
      <c r="J35" s="514"/>
      <c r="K35" s="514"/>
      <c r="L35" s="514"/>
      <c r="M35" s="514"/>
      <c r="N35" s="906"/>
      <c r="O35" s="65"/>
      <c r="P35" s="65"/>
      <c r="Q35" s="65"/>
      <c r="R35" s="65"/>
      <c r="S35" s="65"/>
      <c r="T35" s="65"/>
      <c r="U35" s="65"/>
      <c r="V35" s="65"/>
      <c r="W35" s="65"/>
      <c r="X35" s="65"/>
      <c r="Y35" s="906"/>
      <c r="Z35" s="65"/>
      <c r="AA35" s="65"/>
      <c r="AB35" s="65"/>
      <c r="AC35" s="65"/>
      <c r="AD35" s="65"/>
      <c r="AE35" s="65"/>
      <c r="AF35" s="65"/>
      <c r="AG35" s="65"/>
      <c r="AH35" s="65"/>
      <c r="AI35" s="65"/>
      <c r="AJ35" s="894"/>
      <c r="AK35" s="894"/>
      <c r="AL35" s="894"/>
      <c r="AM35" s="894"/>
      <c r="AN35" s="86"/>
      <c r="AO35" s="86"/>
      <c r="AP35" s="86"/>
      <c r="AQ35" s="86"/>
      <c r="AR35" s="86"/>
      <c r="AS35" s="86"/>
      <c r="AT35" s="86"/>
      <c r="AU35" s="86"/>
    </row>
    <row r="36" spans="1:47" ht="16.5" customHeight="1" x14ac:dyDescent="0.2">
      <c r="A36" s="908">
        <v>-21</v>
      </c>
      <c r="B36" s="908"/>
      <c r="C36" s="514" t="s">
        <v>149</v>
      </c>
      <c r="D36" s="896"/>
      <c r="E36" s="896"/>
      <c r="F36" s="896"/>
      <c r="G36" s="896"/>
      <c r="H36" s="514"/>
      <c r="I36" s="514"/>
      <c r="J36" s="514"/>
      <c r="K36" s="514"/>
      <c r="L36" s="514"/>
      <c r="M36" s="514"/>
      <c r="N36" s="906"/>
      <c r="O36" s="894"/>
      <c r="P36" s="894"/>
      <c r="Q36" s="894"/>
      <c r="R36" s="894"/>
      <c r="S36" s="894"/>
      <c r="T36" s="894"/>
      <c r="U36" s="894"/>
      <c r="V36" s="907"/>
      <c r="W36" s="894"/>
      <c r="X36" s="894"/>
      <c r="Y36" s="894"/>
      <c r="Z36" s="894"/>
      <c r="AA36" s="894"/>
      <c r="AB36" s="894"/>
      <c r="AC36" s="894"/>
      <c r="AD36" s="894"/>
      <c r="AE36" s="894"/>
      <c r="AF36" s="894"/>
      <c r="AG36" s="894"/>
      <c r="AH36" s="894"/>
      <c r="AI36" s="894"/>
      <c r="AJ36" s="894"/>
      <c r="AK36" s="894"/>
      <c r="AL36" s="894"/>
      <c r="AM36" s="894"/>
      <c r="AN36" s="86"/>
      <c r="AO36" s="86"/>
      <c r="AP36" s="86"/>
      <c r="AQ36" s="86"/>
      <c r="AR36" s="86"/>
      <c r="AS36" s="86"/>
      <c r="AT36" s="86"/>
      <c r="AU36" s="86"/>
    </row>
    <row r="37" spans="1:47" s="86" customFormat="1" ht="16.5" customHeight="1" x14ac:dyDescent="0.2">
      <c r="A37" s="908">
        <v>-22</v>
      </c>
      <c r="B37" s="908"/>
      <c r="C37" s="514" t="s">
        <v>247</v>
      </c>
      <c r="D37" s="514"/>
      <c r="E37" s="514"/>
      <c r="F37" s="514"/>
      <c r="G37" s="514"/>
      <c r="H37" s="514"/>
      <c r="I37" s="514"/>
      <c r="J37" s="514"/>
      <c r="K37" s="514"/>
      <c r="L37" s="514"/>
      <c r="M37" s="514"/>
      <c r="N37" s="894"/>
      <c r="O37" s="894"/>
      <c r="P37" s="894"/>
      <c r="Q37" s="894"/>
      <c r="R37" s="894"/>
      <c r="S37" s="894"/>
      <c r="T37" s="894"/>
      <c r="U37" s="894"/>
      <c r="V37" s="907"/>
      <c r="W37" s="894"/>
      <c r="X37" s="894"/>
      <c r="Y37" s="894"/>
      <c r="Z37" s="894"/>
      <c r="AA37" s="894"/>
      <c r="AB37" s="894"/>
      <c r="AC37" s="894"/>
      <c r="AD37" s="894"/>
      <c r="AE37" s="894"/>
      <c r="AF37" s="894"/>
      <c r="AG37" s="894"/>
      <c r="AH37" s="894"/>
      <c r="AI37" s="894"/>
      <c r="AJ37" s="894"/>
      <c r="AK37" s="894"/>
      <c r="AL37" s="894"/>
      <c r="AM37" s="894"/>
    </row>
    <row r="38" spans="1:47" ht="16.5" customHeight="1" x14ac:dyDescent="0.2">
      <c r="A38" s="908">
        <v>-23</v>
      </c>
      <c r="B38" s="908"/>
      <c r="C38" s="896" t="s">
        <v>367</v>
      </c>
      <c r="D38" s="897"/>
      <c r="E38" s="897"/>
      <c r="F38" s="897"/>
      <c r="G38" s="897"/>
      <c r="H38" s="899"/>
      <c r="I38" s="899"/>
      <c r="J38" s="899"/>
      <c r="K38" s="899"/>
      <c r="L38" s="899"/>
      <c r="M38" s="899"/>
      <c r="N38" s="894"/>
      <c r="O38" s="894"/>
      <c r="P38" s="894"/>
      <c r="Q38" s="894"/>
      <c r="R38" s="894"/>
      <c r="S38" s="894"/>
      <c r="T38" s="894"/>
      <c r="U38" s="894"/>
      <c r="V38" s="907"/>
      <c r="W38" s="894"/>
      <c r="X38" s="894"/>
      <c r="Y38" s="894"/>
      <c r="Z38" s="894"/>
      <c r="AA38" s="894"/>
      <c r="AB38" s="894"/>
      <c r="AC38" s="894"/>
      <c r="AD38" s="894"/>
      <c r="AE38" s="894"/>
      <c r="AF38" s="894"/>
      <c r="AG38" s="894"/>
      <c r="AH38" s="894"/>
      <c r="AI38" s="894"/>
      <c r="AJ38" s="894"/>
      <c r="AK38" s="894"/>
      <c r="AL38" s="894"/>
      <c r="AM38" s="894"/>
      <c r="AN38" s="86"/>
      <c r="AO38" s="86"/>
      <c r="AP38" s="86"/>
      <c r="AQ38" s="86"/>
      <c r="AR38" s="86"/>
      <c r="AS38" s="86"/>
      <c r="AT38" s="86"/>
      <c r="AU38" s="86"/>
    </row>
    <row r="39" spans="1:47" ht="16.5" customHeight="1" x14ac:dyDescent="0.2">
      <c r="A39" s="908"/>
      <c r="B39" s="908"/>
      <c r="C39" s="896" t="s">
        <v>388</v>
      </c>
      <c r="D39" s="897"/>
      <c r="E39" s="897"/>
      <c r="F39" s="897"/>
      <c r="G39" s="897"/>
      <c r="H39" s="899"/>
      <c r="I39" s="899"/>
      <c r="J39" s="899"/>
      <c r="K39" s="899"/>
      <c r="L39" s="899"/>
      <c r="M39" s="899"/>
      <c r="N39" s="894"/>
      <c r="O39" s="894"/>
      <c r="P39" s="894"/>
      <c r="Q39" s="894"/>
      <c r="R39" s="894"/>
      <c r="S39" s="894"/>
      <c r="T39" s="894"/>
      <c r="U39" s="894"/>
      <c r="V39" s="907"/>
      <c r="W39" s="894"/>
      <c r="X39" s="894"/>
      <c r="Y39" s="894"/>
      <c r="Z39" s="894"/>
      <c r="AA39" s="894"/>
      <c r="AB39" s="894"/>
      <c r="AC39" s="894"/>
      <c r="AD39" s="894"/>
      <c r="AE39" s="894"/>
      <c r="AF39" s="894"/>
      <c r="AG39" s="894"/>
      <c r="AH39" s="894"/>
      <c r="AI39" s="894"/>
      <c r="AJ39" s="894"/>
      <c r="AK39" s="894"/>
      <c r="AL39" s="894"/>
      <c r="AM39" s="894"/>
      <c r="AN39" s="86"/>
      <c r="AO39" s="86"/>
      <c r="AP39" s="86"/>
      <c r="AQ39" s="86"/>
      <c r="AR39" s="86"/>
      <c r="AS39" s="86"/>
      <c r="AT39" s="86"/>
      <c r="AU39" s="86"/>
    </row>
    <row r="40" spans="1:47" ht="16.5" customHeight="1" x14ac:dyDescent="0.2">
      <c r="A40" s="908"/>
      <c r="B40" s="908"/>
      <c r="C40" s="896" t="s">
        <v>393</v>
      </c>
      <c r="D40" s="897"/>
      <c r="E40" s="897"/>
      <c r="F40" s="897"/>
      <c r="G40" s="897"/>
      <c r="H40" s="899"/>
      <c r="I40" s="899"/>
      <c r="J40" s="899"/>
      <c r="K40" s="899"/>
      <c r="L40" s="899"/>
      <c r="M40" s="899"/>
      <c r="N40" s="894"/>
      <c r="O40" s="894"/>
      <c r="P40" s="894"/>
      <c r="Q40" s="894"/>
      <c r="R40" s="894"/>
      <c r="S40" s="894"/>
      <c r="T40" s="894"/>
      <c r="U40" s="894"/>
      <c r="V40" s="907"/>
      <c r="W40" s="894"/>
      <c r="X40" s="894"/>
      <c r="Y40" s="894"/>
      <c r="Z40" s="894"/>
      <c r="AA40" s="894"/>
      <c r="AB40" s="894"/>
      <c r="AC40" s="894"/>
      <c r="AD40" s="894"/>
      <c r="AE40" s="894"/>
      <c r="AF40" s="894"/>
      <c r="AG40" s="894"/>
      <c r="AH40" s="894"/>
      <c r="AI40" s="894"/>
      <c r="AJ40" s="894"/>
      <c r="AK40" s="894"/>
      <c r="AL40" s="894"/>
      <c r="AM40" s="894"/>
      <c r="AN40" s="86"/>
      <c r="AO40" s="86"/>
      <c r="AP40" s="86"/>
      <c r="AQ40" s="86"/>
      <c r="AR40" s="86"/>
      <c r="AS40" s="86"/>
      <c r="AT40" s="86"/>
      <c r="AU40" s="86"/>
    </row>
    <row r="41" spans="1:47" ht="16.5" customHeight="1" x14ac:dyDescent="0.2">
      <c r="A41" s="908">
        <v>-24</v>
      </c>
      <c r="B41" s="908"/>
      <c r="C41" s="896" t="s">
        <v>370</v>
      </c>
      <c r="D41" s="897"/>
      <c r="E41" s="897"/>
      <c r="F41" s="897"/>
      <c r="G41" s="897"/>
      <c r="H41" s="899"/>
      <c r="I41" s="899"/>
      <c r="J41" s="899"/>
      <c r="K41" s="899"/>
      <c r="L41" s="899"/>
      <c r="M41" s="899"/>
      <c r="N41" s="894"/>
      <c r="O41" s="894"/>
      <c r="P41" s="894"/>
      <c r="Q41" s="894"/>
      <c r="R41" s="894"/>
      <c r="S41" s="894"/>
      <c r="T41" s="894"/>
      <c r="U41" s="894"/>
      <c r="V41" s="907"/>
      <c r="W41" s="894"/>
      <c r="X41" s="894"/>
      <c r="Y41" s="894"/>
      <c r="Z41" s="894"/>
      <c r="AA41" s="894"/>
      <c r="AB41" s="894"/>
      <c r="AC41" s="894"/>
      <c r="AD41" s="894"/>
      <c r="AE41" s="894"/>
      <c r="AF41" s="894"/>
      <c r="AG41" s="894"/>
      <c r="AH41" s="894"/>
      <c r="AI41" s="894"/>
      <c r="AJ41" s="894"/>
      <c r="AK41" s="894"/>
      <c r="AL41" s="894"/>
      <c r="AM41" s="894"/>
      <c r="AN41" s="86"/>
      <c r="AO41" s="86"/>
      <c r="AP41" s="86"/>
      <c r="AQ41" s="86"/>
      <c r="AR41" s="86"/>
      <c r="AS41" s="86"/>
      <c r="AT41" s="86"/>
      <c r="AU41" s="86"/>
    </row>
    <row r="42" spans="1:47" ht="16.5" customHeight="1" x14ac:dyDescent="0.2">
      <c r="A42" s="909"/>
      <c r="B42" s="909"/>
      <c r="C42" s="896" t="s">
        <v>433</v>
      </c>
      <c r="D42" s="897"/>
      <c r="E42" s="897"/>
      <c r="F42" s="897"/>
      <c r="G42" s="897"/>
      <c r="H42" s="899"/>
      <c r="I42" s="899"/>
      <c r="J42" s="899"/>
      <c r="K42" s="899"/>
      <c r="L42" s="899"/>
      <c r="M42" s="899"/>
      <c r="N42" s="894"/>
      <c r="O42" s="894"/>
      <c r="P42" s="894"/>
      <c r="Q42" s="894"/>
      <c r="R42" s="894"/>
      <c r="S42" s="894"/>
      <c r="T42" s="894"/>
      <c r="U42" s="894"/>
      <c r="V42" s="907"/>
      <c r="W42" s="894"/>
      <c r="X42" s="894"/>
      <c r="Y42" s="894"/>
      <c r="Z42" s="894"/>
      <c r="AA42" s="894"/>
      <c r="AB42" s="894"/>
      <c r="AC42" s="894"/>
      <c r="AD42" s="894"/>
      <c r="AE42" s="894"/>
      <c r="AF42" s="894"/>
      <c r="AG42" s="894"/>
      <c r="AH42" s="894"/>
      <c r="AI42" s="894"/>
      <c r="AJ42" s="894"/>
      <c r="AK42" s="894"/>
      <c r="AL42" s="894"/>
      <c r="AM42" s="894"/>
      <c r="AN42" s="86"/>
      <c r="AO42" s="86"/>
      <c r="AP42" s="86"/>
      <c r="AQ42" s="86"/>
      <c r="AR42" s="86"/>
      <c r="AS42" s="86"/>
      <c r="AT42" s="86"/>
      <c r="AU42" s="86"/>
    </row>
    <row r="43" spans="1:47" ht="16.5" customHeight="1" x14ac:dyDescent="0.2">
      <c r="A43" s="909"/>
      <c r="B43" s="909"/>
      <c r="C43" s="896" t="s">
        <v>432</v>
      </c>
      <c r="D43" s="897"/>
      <c r="E43" s="897"/>
      <c r="F43" s="897"/>
      <c r="G43" s="897"/>
      <c r="H43" s="899"/>
      <c r="I43" s="899"/>
      <c r="J43" s="899"/>
      <c r="K43" s="899"/>
      <c r="L43" s="899"/>
      <c r="M43" s="899"/>
      <c r="N43" s="894"/>
      <c r="O43" s="894"/>
      <c r="P43" s="894"/>
      <c r="Q43" s="894"/>
      <c r="R43" s="894"/>
      <c r="S43" s="894"/>
      <c r="T43" s="894"/>
      <c r="U43" s="894"/>
      <c r="V43" s="907"/>
      <c r="W43" s="894"/>
      <c r="X43" s="894"/>
      <c r="Y43" s="894"/>
      <c r="Z43" s="894"/>
      <c r="AA43" s="894"/>
      <c r="AB43" s="894"/>
      <c r="AC43" s="894"/>
      <c r="AD43" s="894"/>
      <c r="AE43" s="894"/>
      <c r="AF43" s="894"/>
      <c r="AG43" s="894"/>
      <c r="AH43" s="894"/>
      <c r="AI43" s="894"/>
      <c r="AJ43" s="894"/>
      <c r="AK43" s="894"/>
      <c r="AL43" s="894"/>
      <c r="AM43" s="894"/>
      <c r="AN43" s="86"/>
      <c r="AO43" s="86"/>
      <c r="AP43" s="86"/>
      <c r="AQ43" s="86"/>
      <c r="AR43" s="86"/>
      <c r="AS43" s="86"/>
      <c r="AT43" s="86"/>
      <c r="AU43" s="86"/>
    </row>
    <row r="44" spans="1:47" ht="16.5" customHeight="1" x14ac:dyDescent="0.2">
      <c r="A44" s="908">
        <v>-25</v>
      </c>
      <c r="B44" s="908"/>
      <c r="C44" s="896" t="s">
        <v>359</v>
      </c>
      <c r="D44" s="898"/>
      <c r="E44" s="898"/>
      <c r="F44" s="898"/>
      <c r="G44" s="898"/>
      <c r="H44" s="898"/>
      <c r="I44" s="898"/>
      <c r="J44" s="898"/>
      <c r="K44" s="898"/>
      <c r="L44" s="899"/>
      <c r="M44" s="899"/>
      <c r="N44" s="894"/>
      <c r="O44" s="894"/>
      <c r="P44" s="894"/>
      <c r="Q44" s="894"/>
      <c r="R44" s="894"/>
      <c r="S44" s="894"/>
      <c r="T44" s="894"/>
      <c r="U44" s="894"/>
      <c r="V44" s="907"/>
      <c r="W44" s="894"/>
      <c r="X44" s="894"/>
      <c r="Y44" s="894"/>
      <c r="Z44" s="894"/>
      <c r="AA44" s="894"/>
      <c r="AB44" s="894"/>
      <c r="AC44" s="894"/>
      <c r="AD44" s="894"/>
      <c r="AE44" s="894"/>
      <c r="AF44" s="894"/>
      <c r="AG44" s="894"/>
      <c r="AH44" s="894"/>
      <c r="AI44" s="894"/>
      <c r="AJ44" s="894"/>
      <c r="AK44" s="894"/>
      <c r="AL44" s="894"/>
      <c r="AM44" s="894"/>
      <c r="AN44" s="86"/>
      <c r="AO44" s="86"/>
      <c r="AP44" s="86"/>
      <c r="AQ44" s="86"/>
      <c r="AR44" s="86"/>
      <c r="AS44" s="86"/>
      <c r="AT44" s="86"/>
      <c r="AU44" s="86"/>
    </row>
    <row r="45" spans="1:47" s="86" customFormat="1" ht="16.5" customHeight="1" x14ac:dyDescent="0.2">
      <c r="A45" s="908">
        <v>-26</v>
      </c>
      <c r="B45" s="908"/>
      <c r="C45" s="514" t="s">
        <v>368</v>
      </c>
      <c r="D45" s="898"/>
      <c r="E45" s="898"/>
      <c r="F45" s="898"/>
      <c r="G45" s="898"/>
      <c r="H45" s="899"/>
      <c r="I45" s="899"/>
      <c r="J45" s="899"/>
      <c r="K45" s="899"/>
      <c r="L45" s="899"/>
      <c r="M45" s="899"/>
      <c r="N45" s="894"/>
      <c r="O45" s="894"/>
      <c r="P45" s="894"/>
      <c r="Q45" s="894"/>
      <c r="R45" s="894"/>
      <c r="S45" s="894"/>
      <c r="T45" s="894"/>
      <c r="U45" s="894"/>
      <c r="V45" s="907"/>
      <c r="W45" s="894"/>
      <c r="X45" s="894"/>
      <c r="Y45" s="894"/>
      <c r="Z45" s="894"/>
      <c r="AA45" s="894"/>
      <c r="AB45" s="894"/>
      <c r="AC45" s="894"/>
      <c r="AD45" s="894"/>
      <c r="AE45" s="894"/>
      <c r="AF45" s="894"/>
      <c r="AG45" s="894"/>
      <c r="AH45" s="894"/>
      <c r="AI45" s="894"/>
      <c r="AJ45" s="894"/>
      <c r="AK45" s="894"/>
      <c r="AL45" s="894"/>
      <c r="AM45" s="894"/>
    </row>
    <row r="46" spans="1:47" ht="16.5" customHeight="1" x14ac:dyDescent="0.2">
      <c r="A46" s="908">
        <v>-27</v>
      </c>
      <c r="B46" s="908"/>
      <c r="C46" s="514" t="s">
        <v>321</v>
      </c>
      <c r="D46" s="900"/>
      <c r="E46" s="900"/>
      <c r="F46" s="900"/>
      <c r="G46" s="900"/>
      <c r="H46" s="894"/>
      <c r="I46" s="894"/>
      <c r="J46" s="894"/>
      <c r="K46" s="894"/>
      <c r="L46" s="894"/>
      <c r="M46" s="894"/>
      <c r="N46" s="894"/>
      <c r="O46" s="894"/>
      <c r="P46" s="894"/>
      <c r="Q46" s="894"/>
      <c r="R46" s="894"/>
      <c r="S46" s="894"/>
      <c r="T46" s="894"/>
      <c r="U46" s="894"/>
      <c r="V46" s="907"/>
      <c r="W46" s="894"/>
      <c r="X46" s="894"/>
      <c r="Y46" s="894"/>
      <c r="Z46" s="894"/>
      <c r="AA46" s="894"/>
      <c r="AB46" s="894"/>
      <c r="AC46" s="894"/>
      <c r="AD46" s="894"/>
      <c r="AE46" s="894"/>
      <c r="AF46" s="894"/>
      <c r="AG46" s="894"/>
      <c r="AH46" s="894"/>
      <c r="AI46" s="894"/>
      <c r="AJ46" s="894"/>
      <c r="AK46" s="894"/>
      <c r="AL46" s="894"/>
      <c r="AM46" s="894"/>
      <c r="AN46" s="86"/>
      <c r="AO46" s="86"/>
      <c r="AP46" s="86"/>
      <c r="AQ46" s="86"/>
      <c r="AR46" s="86"/>
      <c r="AS46" s="86"/>
      <c r="AT46" s="86"/>
      <c r="AU46" s="86"/>
    </row>
    <row r="47" spans="1:47" ht="16.5" customHeight="1" x14ac:dyDescent="0.2">
      <c r="A47" s="911">
        <v>-28</v>
      </c>
      <c r="B47" s="911"/>
      <c r="C47" s="514" t="s">
        <v>421</v>
      </c>
      <c r="D47" s="900"/>
      <c r="E47" s="900"/>
      <c r="F47" s="900"/>
      <c r="G47" s="900"/>
      <c r="H47" s="894"/>
      <c r="I47" s="894"/>
      <c r="J47" s="894"/>
      <c r="K47" s="894"/>
      <c r="L47" s="894"/>
      <c r="M47" s="894"/>
      <c r="N47" s="894"/>
      <c r="O47" s="894"/>
      <c r="P47" s="894"/>
      <c r="Q47" s="894"/>
      <c r="R47" s="894"/>
      <c r="S47" s="894"/>
      <c r="T47" s="894"/>
      <c r="U47" s="894"/>
      <c r="V47" s="907"/>
      <c r="W47" s="894"/>
      <c r="X47" s="894"/>
      <c r="Y47" s="894"/>
      <c r="Z47" s="894"/>
      <c r="AA47" s="894"/>
      <c r="AB47" s="894"/>
      <c r="AC47" s="894"/>
      <c r="AD47" s="894"/>
      <c r="AE47" s="894"/>
      <c r="AF47" s="894"/>
      <c r="AG47" s="894"/>
      <c r="AH47" s="894"/>
      <c r="AI47" s="894"/>
      <c r="AJ47" s="894"/>
      <c r="AK47" s="894"/>
      <c r="AL47" s="894"/>
      <c r="AM47" s="894"/>
      <c r="AN47" s="86"/>
      <c r="AO47" s="86"/>
      <c r="AP47" s="86"/>
      <c r="AQ47" s="86"/>
      <c r="AR47" s="86"/>
      <c r="AS47" s="86"/>
      <c r="AT47" s="86"/>
      <c r="AU47" s="86"/>
    </row>
    <row r="48" spans="1:47" ht="14.25" x14ac:dyDescent="0.2">
      <c r="A48" s="911">
        <v>-29</v>
      </c>
      <c r="C48" s="514" t="s">
        <v>444</v>
      </c>
      <c r="H48" s="86"/>
      <c r="I48" s="86"/>
      <c r="J48" s="86"/>
      <c r="K48" s="86"/>
      <c r="L48" s="86"/>
      <c r="M48" s="894"/>
      <c r="N48" s="894"/>
      <c r="O48" s="894"/>
      <c r="P48" s="894"/>
      <c r="Q48" s="894"/>
      <c r="R48" s="894"/>
      <c r="S48" s="894"/>
      <c r="T48" s="894"/>
      <c r="U48" s="894"/>
      <c r="V48" s="907"/>
      <c r="W48" s="894"/>
      <c r="X48" s="894"/>
      <c r="Y48" s="894"/>
      <c r="Z48" s="894"/>
      <c r="AA48" s="894"/>
      <c r="AB48" s="894"/>
      <c r="AC48" s="894"/>
      <c r="AD48" s="894"/>
      <c r="AE48" s="894"/>
      <c r="AF48" s="894"/>
      <c r="AG48" s="894"/>
      <c r="AH48" s="894"/>
      <c r="AI48" s="894"/>
      <c r="AJ48" s="894"/>
      <c r="AK48" s="894"/>
      <c r="AL48" s="894"/>
      <c r="AM48" s="894"/>
      <c r="AN48" s="86"/>
      <c r="AO48" s="86"/>
      <c r="AP48" s="86"/>
      <c r="AQ48" s="86"/>
      <c r="AR48" s="86"/>
      <c r="AS48" s="86"/>
      <c r="AT48" s="86"/>
      <c r="AU48" s="86"/>
    </row>
    <row r="49" spans="1:47" ht="14.25" x14ac:dyDescent="0.2">
      <c r="A49" s="911"/>
      <c r="H49" s="86"/>
      <c r="I49" s="86"/>
      <c r="J49" s="86"/>
      <c r="K49" s="86"/>
      <c r="L49" s="86"/>
      <c r="M49" s="894"/>
      <c r="N49" s="894"/>
      <c r="O49" s="894"/>
      <c r="P49" s="894"/>
      <c r="Q49" s="894"/>
      <c r="R49" s="894"/>
      <c r="S49" s="894"/>
      <c r="T49" s="894"/>
      <c r="U49" s="894"/>
      <c r="V49" s="907"/>
      <c r="W49" s="894"/>
      <c r="X49" s="894"/>
      <c r="Y49" s="894"/>
      <c r="Z49" s="894"/>
      <c r="AA49" s="894"/>
      <c r="AB49" s="894"/>
      <c r="AC49" s="894"/>
      <c r="AD49" s="894"/>
      <c r="AE49" s="894"/>
      <c r="AF49" s="894"/>
      <c r="AG49" s="894"/>
      <c r="AH49" s="894"/>
      <c r="AI49" s="894"/>
      <c r="AJ49" s="894"/>
      <c r="AK49" s="894"/>
      <c r="AL49" s="894"/>
      <c r="AM49" s="894"/>
      <c r="AN49" s="86"/>
      <c r="AO49" s="86"/>
      <c r="AP49" s="86"/>
      <c r="AQ49" s="86"/>
      <c r="AR49" s="86"/>
      <c r="AS49" s="86"/>
      <c r="AT49" s="86"/>
      <c r="AU49" s="86"/>
    </row>
    <row r="50" spans="1:47" x14ac:dyDescent="0.2">
      <c r="H50" s="86"/>
      <c r="I50" s="86"/>
      <c r="J50" s="86"/>
      <c r="K50" s="86"/>
      <c r="L50" s="86"/>
      <c r="M50" s="894"/>
      <c r="N50" s="894"/>
      <c r="O50" s="894"/>
      <c r="P50" s="894"/>
      <c r="Q50" s="894"/>
      <c r="R50" s="894"/>
      <c r="S50" s="894"/>
      <c r="T50" s="894"/>
      <c r="U50" s="894"/>
      <c r="V50" s="907"/>
      <c r="W50" s="894"/>
      <c r="X50" s="894"/>
      <c r="Y50" s="894"/>
      <c r="Z50" s="894"/>
      <c r="AA50" s="894"/>
      <c r="AB50" s="894"/>
      <c r="AC50" s="894"/>
      <c r="AD50" s="894"/>
      <c r="AE50" s="894"/>
      <c r="AF50" s="894"/>
      <c r="AG50" s="894"/>
      <c r="AH50" s="894"/>
      <c r="AI50" s="894"/>
      <c r="AJ50" s="894"/>
      <c r="AK50" s="894"/>
      <c r="AL50" s="894"/>
      <c r="AM50" s="894"/>
      <c r="AN50" s="86"/>
      <c r="AO50" s="86"/>
      <c r="AP50" s="86"/>
      <c r="AQ50" s="86"/>
      <c r="AR50" s="86"/>
      <c r="AS50" s="86"/>
      <c r="AT50" s="86"/>
      <c r="AU50" s="86"/>
    </row>
    <row r="83" spans="8:8" x14ac:dyDescent="0.2">
      <c r="H83" s="86"/>
    </row>
    <row r="84" spans="8:8" x14ac:dyDescent="0.2">
      <c r="H84" s="86"/>
    </row>
    <row r="85" spans="8:8" x14ac:dyDescent="0.2">
      <c r="H85" s="86"/>
    </row>
    <row r="86" spans="8:8" x14ac:dyDescent="0.2">
      <c r="H86" s="86"/>
    </row>
    <row r="87" spans="8:8" x14ac:dyDescent="0.2">
      <c r="H87" s="86"/>
    </row>
    <row r="88" spans="8:8" x14ac:dyDescent="0.2">
      <c r="H88" s="86"/>
    </row>
    <row r="89" spans="8:8" x14ac:dyDescent="0.2">
      <c r="H89" s="86"/>
    </row>
    <row r="90" spans="8:8" x14ac:dyDescent="0.2">
      <c r="H90" s="86"/>
    </row>
  </sheetData>
  <phoneticPr fontId="16" type="noConversion"/>
  <printOptions horizontalCentered="1"/>
  <pageMargins left="0.3" right="0.3" top="0.4" bottom="0.6" header="0" footer="0.3"/>
  <pageSetup scale="55" orientation="landscape" r:id="rId1"/>
  <headerFooter alignWithMargins="0">
    <oddFooter>&amp;L&amp;F&amp;CPage 13</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8"/>
  <sheetViews>
    <sheetView topLeftCell="A82" workbookViewId="0">
      <selection activeCell="D92" activeCellId="1" sqref="D101 D92"/>
    </sheetView>
  </sheetViews>
  <sheetFormatPr defaultRowHeight="12.75" x14ac:dyDescent="0.2"/>
  <cols>
    <col min="1" max="1" width="25" customWidth="1"/>
    <col min="2" max="5" width="11.7109375" customWidth="1"/>
    <col min="6" max="6" width="16" customWidth="1"/>
    <col min="9" max="9" width="10.85546875" customWidth="1"/>
  </cols>
  <sheetData>
    <row r="1" spans="1:12" ht="18" x14ac:dyDescent="0.25">
      <c r="A1" s="87" t="s">
        <v>136</v>
      </c>
    </row>
    <row r="2" spans="1:12" ht="13.5" thickBot="1" x14ac:dyDescent="0.25"/>
    <row r="3" spans="1:12" hidden="1" x14ac:dyDescent="0.2">
      <c r="A3" s="205" t="s">
        <v>121</v>
      </c>
      <c r="B3" s="195"/>
      <c r="C3" s="195"/>
      <c r="D3" s="195"/>
      <c r="E3" s="196"/>
    </row>
    <row r="4" spans="1:12" hidden="1" x14ac:dyDescent="0.2">
      <c r="A4" s="206" t="s">
        <v>123</v>
      </c>
      <c r="B4" s="3"/>
      <c r="C4" s="3"/>
      <c r="D4" s="3"/>
      <c r="E4" s="199"/>
    </row>
    <row r="5" spans="1:12" hidden="1" x14ac:dyDescent="0.2">
      <c r="A5" s="198"/>
      <c r="B5" s="140" t="s">
        <v>124</v>
      </c>
      <c r="C5" s="140" t="s">
        <v>125</v>
      </c>
      <c r="D5" s="140" t="s">
        <v>126</v>
      </c>
      <c r="E5" s="207" t="s">
        <v>127</v>
      </c>
    </row>
    <row r="6" spans="1:12" hidden="1" x14ac:dyDescent="0.2">
      <c r="A6" s="191" t="s">
        <v>128</v>
      </c>
      <c r="B6" s="201">
        <v>69110.62</v>
      </c>
      <c r="C6" s="201">
        <f>65567.91-1621.56</f>
        <v>63946.350000000006</v>
      </c>
      <c r="D6" s="201">
        <v>61729.19</v>
      </c>
      <c r="E6" s="199">
        <v>61646.74</v>
      </c>
    </row>
    <row r="7" spans="1:12" hidden="1" x14ac:dyDescent="0.2">
      <c r="A7" s="191" t="s">
        <v>129</v>
      </c>
      <c r="B7" s="201">
        <v>3985.92</v>
      </c>
      <c r="C7" s="201">
        <v>3985.92</v>
      </c>
      <c r="D7" s="201">
        <v>3985.92</v>
      </c>
      <c r="E7" s="208">
        <v>3985.92</v>
      </c>
    </row>
    <row r="8" spans="1:12" hidden="1" x14ac:dyDescent="0.2">
      <c r="A8" s="191" t="s">
        <v>130</v>
      </c>
      <c r="B8" s="201">
        <v>37664.800000000003</v>
      </c>
      <c r="C8" s="201">
        <f>42567.8</f>
        <v>42567.8</v>
      </c>
      <c r="D8" s="201">
        <v>42115.28</v>
      </c>
      <c r="E8" s="199">
        <v>40378.97</v>
      </c>
    </row>
    <row r="9" spans="1:12" hidden="1" x14ac:dyDescent="0.2">
      <c r="A9" s="191" t="s">
        <v>131</v>
      </c>
      <c r="B9" s="201">
        <v>43219.18</v>
      </c>
      <c r="C9" s="201">
        <f>41895.58</f>
        <v>41895.58</v>
      </c>
      <c r="D9" s="201">
        <v>51471.24</v>
      </c>
      <c r="E9" s="199">
        <v>61308.55</v>
      </c>
    </row>
    <row r="10" spans="1:12" hidden="1" x14ac:dyDescent="0.2">
      <c r="A10" s="191" t="s">
        <v>132</v>
      </c>
      <c r="B10" s="201">
        <v>29054.58</v>
      </c>
      <c r="C10" s="201">
        <f>37699.48+1621.56</f>
        <v>39321.040000000001</v>
      </c>
      <c r="D10" s="201">
        <v>37180.9</v>
      </c>
      <c r="E10" s="199">
        <v>44248.31</v>
      </c>
    </row>
    <row r="11" spans="1:12" hidden="1" x14ac:dyDescent="0.2">
      <c r="A11" s="191" t="s">
        <v>60</v>
      </c>
      <c r="B11" s="202">
        <f>SUM(B6:B10)</f>
        <v>183035.09999999998</v>
      </c>
      <c r="C11" s="202">
        <f>SUM(C6:C10)</f>
        <v>191716.69000000003</v>
      </c>
      <c r="D11" s="202">
        <f>SUM(D6:D10)</f>
        <v>196482.53</v>
      </c>
      <c r="E11" s="209">
        <f>SUM(E6:E10)</f>
        <v>211568.49</v>
      </c>
    </row>
    <row r="12" spans="1:12" hidden="1" x14ac:dyDescent="0.2">
      <c r="A12" s="198"/>
      <c r="B12" s="3"/>
      <c r="C12" s="3"/>
      <c r="D12" s="3"/>
      <c r="E12" s="199"/>
    </row>
    <row r="13" spans="1:12" hidden="1" x14ac:dyDescent="0.2">
      <c r="A13" s="198" t="s">
        <v>133</v>
      </c>
      <c r="B13" s="203">
        <v>2.1225999999999998</v>
      </c>
      <c r="C13" s="210">
        <v>2.0223</v>
      </c>
      <c r="D13" s="210">
        <v>1.9971000000000001</v>
      </c>
      <c r="E13" s="211">
        <v>1.9943</v>
      </c>
    </row>
    <row r="14" spans="1:12" ht="13.5" hidden="1" thickBot="1" x14ac:dyDescent="0.25">
      <c r="A14" s="197" t="s">
        <v>134</v>
      </c>
      <c r="B14" s="204">
        <f>B11*B13</f>
        <v>388510.3032599999</v>
      </c>
      <c r="C14" s="204">
        <f>C11*C13</f>
        <v>387708.66218700004</v>
      </c>
      <c r="D14" s="204">
        <f>D11*D13</f>
        <v>392395.26066299999</v>
      </c>
      <c r="E14" s="212">
        <f>E11*E13</f>
        <v>421931.03960699996</v>
      </c>
      <c r="G14" s="260"/>
      <c r="H14" s="260"/>
      <c r="I14" s="260"/>
      <c r="J14" s="260"/>
      <c r="K14" s="260"/>
      <c r="L14" s="260"/>
    </row>
    <row r="15" spans="1:12" ht="13.5" hidden="1" thickTop="1" x14ac:dyDescent="0.2">
      <c r="A15" s="198"/>
      <c r="B15" s="3"/>
      <c r="C15" s="3"/>
      <c r="D15" s="3"/>
      <c r="E15" s="199"/>
    </row>
    <row r="16" spans="1:12" hidden="1" x14ac:dyDescent="0.2">
      <c r="A16" s="198" t="s">
        <v>141</v>
      </c>
      <c r="B16" s="213">
        <f>B14</f>
        <v>388510.3032599999</v>
      </c>
      <c r="C16" s="213">
        <f>C14</f>
        <v>387708.66218700004</v>
      </c>
      <c r="D16" s="213">
        <f>D14</f>
        <v>392395.26066299999</v>
      </c>
      <c r="E16" s="214">
        <f>E14</f>
        <v>421931.03960699996</v>
      </c>
    </row>
    <row r="17" spans="1:11" hidden="1" x14ac:dyDescent="0.2">
      <c r="A17" s="198"/>
      <c r="B17" s="140"/>
      <c r="C17" s="140"/>
      <c r="D17" s="140"/>
      <c r="E17" s="207"/>
    </row>
    <row r="18" spans="1:11" ht="13.5" hidden="1" thickBot="1" x14ac:dyDescent="0.25">
      <c r="A18" s="200" t="s">
        <v>135</v>
      </c>
      <c r="B18" s="215">
        <f>B16+C16+D16+E16</f>
        <v>1590545.2657169998</v>
      </c>
      <c r="C18" s="216"/>
      <c r="D18" s="216"/>
      <c r="E18" s="217"/>
    </row>
    <row r="19" spans="1:11" x14ac:dyDescent="0.2">
      <c r="A19" s="288" t="s">
        <v>122</v>
      </c>
      <c r="B19" s="289"/>
      <c r="C19" s="289"/>
      <c r="D19" s="289"/>
      <c r="E19" s="290"/>
      <c r="F19" s="51"/>
      <c r="G19" s="51"/>
      <c r="H19" s="51"/>
      <c r="I19" s="51"/>
      <c r="J19" s="51"/>
      <c r="K19" s="51"/>
    </row>
    <row r="20" spans="1:11" x14ac:dyDescent="0.2">
      <c r="A20" s="291" t="s">
        <v>123</v>
      </c>
      <c r="B20" s="292"/>
      <c r="C20" s="292"/>
      <c r="D20" s="292"/>
      <c r="E20" s="293"/>
      <c r="F20" s="51"/>
      <c r="G20" s="294" t="s">
        <v>142</v>
      </c>
      <c r="H20" s="51" t="s">
        <v>143</v>
      </c>
      <c r="I20" s="51" t="s">
        <v>144</v>
      </c>
      <c r="J20" s="51" t="s">
        <v>145</v>
      </c>
      <c r="K20" s="51" t="s">
        <v>146</v>
      </c>
    </row>
    <row r="21" spans="1:11" x14ac:dyDescent="0.2">
      <c r="A21" s="295"/>
      <c r="B21" s="294" t="s">
        <v>170</v>
      </c>
      <c r="C21" s="294" t="s">
        <v>171</v>
      </c>
      <c r="D21" s="294" t="s">
        <v>172</v>
      </c>
      <c r="E21" s="296" t="s">
        <v>173</v>
      </c>
      <c r="F21" s="51"/>
      <c r="G21" s="294" t="s">
        <v>147</v>
      </c>
      <c r="H21" s="297">
        <v>2.0024000000000002</v>
      </c>
      <c r="I21" s="297">
        <v>1.9671000000000001</v>
      </c>
      <c r="J21" s="297">
        <v>2.0274000000000001</v>
      </c>
      <c r="K21" s="298">
        <f>(H21+I21+J21)/3</f>
        <v>1.9989666666666668</v>
      </c>
    </row>
    <row r="22" spans="1:11" x14ac:dyDescent="0.2">
      <c r="A22" s="299" t="s">
        <v>128</v>
      </c>
      <c r="B22" s="300">
        <v>42241.81</v>
      </c>
      <c r="C22" s="300">
        <v>44761.61</v>
      </c>
      <c r="D22" s="300">
        <v>57738.55</v>
      </c>
      <c r="E22" s="301">
        <v>58401.53</v>
      </c>
      <c r="F22" s="51"/>
      <c r="G22" s="51"/>
      <c r="H22" s="51"/>
      <c r="I22" s="51"/>
      <c r="J22" s="51"/>
      <c r="K22" s="51"/>
    </row>
    <row r="23" spans="1:11" x14ac:dyDescent="0.2">
      <c r="A23" s="299" t="s">
        <v>129</v>
      </c>
      <c r="B23" s="300">
        <v>3972.06</v>
      </c>
      <c r="C23" s="300">
        <v>3979.83</v>
      </c>
      <c r="D23" s="300">
        <v>3998.21</v>
      </c>
      <c r="E23" s="301">
        <v>4064.13</v>
      </c>
      <c r="F23" s="51"/>
      <c r="G23" s="294" t="s">
        <v>150</v>
      </c>
      <c r="H23" s="51" t="s">
        <v>152</v>
      </c>
      <c r="I23" s="51" t="s">
        <v>153</v>
      </c>
      <c r="J23" s="51" t="s">
        <v>154</v>
      </c>
      <c r="K23" s="51" t="s">
        <v>146</v>
      </c>
    </row>
    <row r="24" spans="1:11" x14ac:dyDescent="0.2">
      <c r="A24" s="299" t="s">
        <v>130</v>
      </c>
      <c r="B24" s="300">
        <v>34282.94</v>
      </c>
      <c r="C24" s="300">
        <v>43139.94</v>
      </c>
      <c r="D24" s="300">
        <v>52588.45</v>
      </c>
      <c r="E24" s="301">
        <v>37986.35</v>
      </c>
      <c r="F24" s="51"/>
      <c r="G24" s="294" t="s">
        <v>147</v>
      </c>
      <c r="H24" s="297">
        <v>2.0301</v>
      </c>
      <c r="I24" s="297">
        <v>1.9355</v>
      </c>
      <c r="J24" s="297">
        <v>1.8902000000000001</v>
      </c>
      <c r="K24" s="298">
        <f>(H24+I24+J24)/3</f>
        <v>1.9519333333333335</v>
      </c>
    </row>
    <row r="25" spans="1:11" x14ac:dyDescent="0.2">
      <c r="A25" s="299" t="s">
        <v>131</v>
      </c>
      <c r="B25" s="300">
        <v>64639.45</v>
      </c>
      <c r="C25" s="300">
        <v>70116.929999999993</v>
      </c>
      <c r="D25" s="300">
        <v>72200.73</v>
      </c>
      <c r="E25" s="301">
        <v>63457.98</v>
      </c>
      <c r="F25" s="51"/>
      <c r="G25" s="51"/>
      <c r="H25" s="51"/>
      <c r="I25" s="51"/>
      <c r="J25" s="51"/>
      <c r="K25" s="51"/>
    </row>
    <row r="26" spans="1:11" x14ac:dyDescent="0.2">
      <c r="A26" s="299" t="s">
        <v>132</v>
      </c>
      <c r="B26" s="300">
        <v>46327.59</v>
      </c>
      <c r="C26" s="300">
        <v>45747.519999999997</v>
      </c>
      <c r="D26" s="300">
        <v>38874.15</v>
      </c>
      <c r="E26" s="301">
        <v>31006.880000000001</v>
      </c>
      <c r="F26" s="51"/>
      <c r="G26" s="294" t="s">
        <v>151</v>
      </c>
      <c r="H26" s="51" t="s">
        <v>155</v>
      </c>
      <c r="I26" s="51" t="s">
        <v>156</v>
      </c>
      <c r="J26" s="51" t="s">
        <v>157</v>
      </c>
      <c r="K26" s="51" t="s">
        <v>146</v>
      </c>
    </row>
    <row r="27" spans="1:11" x14ac:dyDescent="0.2">
      <c r="A27" s="299" t="s">
        <v>60</v>
      </c>
      <c r="B27" s="302">
        <f>SUM(B22:B26)</f>
        <v>191463.85</v>
      </c>
      <c r="C27" s="302">
        <f>SUM(C22:C26)</f>
        <v>207745.83</v>
      </c>
      <c r="D27" s="302">
        <f>SUM(D22:D26)</f>
        <v>225400.09</v>
      </c>
      <c r="E27" s="303">
        <f>SUM(E22:E26)</f>
        <v>194916.87</v>
      </c>
      <c r="F27" s="51"/>
      <c r="G27" s="294" t="s">
        <v>147</v>
      </c>
      <c r="H27" s="297">
        <v>1.9411</v>
      </c>
      <c r="I27" s="297">
        <v>1.8942000000000001</v>
      </c>
      <c r="J27" s="297">
        <v>1.7811999999999999</v>
      </c>
      <c r="K27" s="298">
        <f>(H27+I27+J27)/3</f>
        <v>1.8721666666666668</v>
      </c>
    </row>
    <row r="28" spans="1:11" x14ac:dyDescent="0.2">
      <c r="A28" s="295"/>
      <c r="B28" s="292"/>
      <c r="C28" s="292"/>
      <c r="D28" s="292"/>
      <c r="E28" s="293"/>
      <c r="F28" s="51"/>
      <c r="G28" s="51"/>
      <c r="H28" s="51"/>
      <c r="I28" s="51"/>
      <c r="J28" s="51"/>
      <c r="K28" s="51"/>
    </row>
    <row r="29" spans="1:11" x14ac:dyDescent="0.2">
      <c r="A29" s="295" t="s">
        <v>133</v>
      </c>
      <c r="B29" s="304">
        <v>1.9990000000000001</v>
      </c>
      <c r="C29" s="304">
        <v>1.9519</v>
      </c>
      <c r="D29" s="304">
        <v>1.8722000000000001</v>
      </c>
      <c r="E29" s="305">
        <f>K30</f>
        <v>1.7925666666666666</v>
      </c>
      <c r="F29" s="51"/>
      <c r="G29" s="294" t="s">
        <v>161</v>
      </c>
      <c r="H29" s="51" t="s">
        <v>162</v>
      </c>
      <c r="I29" s="51" t="s">
        <v>163</v>
      </c>
      <c r="J29" s="51" t="s">
        <v>164</v>
      </c>
      <c r="K29" s="51" t="s">
        <v>146</v>
      </c>
    </row>
    <row r="30" spans="1:11" ht="13.5" thickBot="1" x14ac:dyDescent="0.25">
      <c r="A30" s="306" t="s">
        <v>134</v>
      </c>
      <c r="B30" s="307">
        <f>B27*B29</f>
        <v>382736.23615000001</v>
      </c>
      <c r="C30" s="307">
        <f>C27*C29</f>
        <v>405499.08557699999</v>
      </c>
      <c r="D30" s="307">
        <f>D27*D29</f>
        <v>421994.04849800002</v>
      </c>
      <c r="E30" s="308">
        <f>E27*E29</f>
        <v>349401.48393300001</v>
      </c>
      <c r="F30" s="51"/>
      <c r="G30" s="294" t="s">
        <v>147</v>
      </c>
      <c r="H30" s="51">
        <v>1.7767999999999999</v>
      </c>
      <c r="I30" s="51">
        <v>1.7927999999999999</v>
      </c>
      <c r="J30" s="51">
        <v>1.8081</v>
      </c>
      <c r="K30" s="51">
        <f>(H30+I30+J30)/3</f>
        <v>1.7925666666666666</v>
      </c>
    </row>
    <row r="31" spans="1:11" ht="13.5" thickTop="1" x14ac:dyDescent="0.2">
      <c r="A31" s="295"/>
      <c r="B31" s="292"/>
      <c r="C31" s="292"/>
      <c r="D31" s="292"/>
      <c r="E31" s="293"/>
      <c r="F31" s="51"/>
      <c r="G31" s="51"/>
      <c r="H31" s="51"/>
      <c r="I31" s="51"/>
      <c r="J31" s="51"/>
      <c r="K31" s="51"/>
    </row>
    <row r="32" spans="1:11" x14ac:dyDescent="0.2">
      <c r="A32" s="295" t="s">
        <v>141</v>
      </c>
      <c r="B32" s="309">
        <f>B30</f>
        <v>382736.23615000001</v>
      </c>
      <c r="C32" s="309">
        <f>C30</f>
        <v>405499.08557699999</v>
      </c>
      <c r="D32" s="309">
        <f>D30</f>
        <v>421994.04849800002</v>
      </c>
      <c r="E32" s="310">
        <f>E30</f>
        <v>349401.48393300001</v>
      </c>
      <c r="F32" s="51"/>
      <c r="G32" s="51"/>
      <c r="H32" s="51"/>
      <c r="I32" s="51"/>
      <c r="J32" s="51"/>
      <c r="K32" s="51"/>
    </row>
    <row r="33" spans="1:11" x14ac:dyDescent="0.2">
      <c r="A33" s="295"/>
      <c r="B33" s="294"/>
      <c r="C33" s="294"/>
      <c r="D33" s="294"/>
      <c r="E33" s="296"/>
      <c r="F33" s="51"/>
      <c r="G33" s="51"/>
      <c r="H33" s="51"/>
      <c r="I33" s="51"/>
      <c r="J33" s="51"/>
      <c r="K33" s="51"/>
    </row>
    <row r="34" spans="1:11" ht="13.5" thickBot="1" x14ac:dyDescent="0.25">
      <c r="A34" s="311" t="s">
        <v>135</v>
      </c>
      <c r="B34" s="312">
        <f>B32+C32+D32+E32</f>
        <v>1559630.8541580001</v>
      </c>
      <c r="C34" s="313"/>
      <c r="D34" s="313"/>
      <c r="E34" s="314"/>
      <c r="F34" s="51"/>
      <c r="G34" s="51"/>
      <c r="H34" s="51"/>
      <c r="I34" s="51"/>
      <c r="J34" s="51"/>
      <c r="K34" s="51"/>
    </row>
    <row r="35" spans="1:11" ht="13.5" thickBot="1" x14ac:dyDescent="0.25"/>
    <row r="36" spans="1:11" x14ac:dyDescent="0.2">
      <c r="A36" s="205" t="s">
        <v>168</v>
      </c>
      <c r="B36" s="195"/>
      <c r="C36" s="195"/>
      <c r="D36" s="195"/>
      <c r="E36" s="196"/>
    </row>
    <row r="37" spans="1:11" x14ac:dyDescent="0.2">
      <c r="A37" s="206" t="s">
        <v>123</v>
      </c>
      <c r="B37" s="3"/>
      <c r="C37" s="3"/>
      <c r="D37" s="3"/>
      <c r="E37" s="199"/>
      <c r="G37" s="259" t="s">
        <v>142</v>
      </c>
      <c r="H37" t="s">
        <v>143</v>
      </c>
      <c r="I37" t="s">
        <v>144</v>
      </c>
      <c r="J37" t="s">
        <v>145</v>
      </c>
      <c r="K37" t="s">
        <v>146</v>
      </c>
    </row>
    <row r="38" spans="1:11" x14ac:dyDescent="0.2">
      <c r="A38" s="198"/>
      <c r="B38" s="140" t="s">
        <v>169</v>
      </c>
      <c r="C38" s="140" t="s">
        <v>174</v>
      </c>
      <c r="D38" s="140" t="s">
        <v>175</v>
      </c>
      <c r="E38" s="207" t="s">
        <v>176</v>
      </c>
      <c r="G38" s="259" t="s">
        <v>147</v>
      </c>
      <c r="H38" s="260">
        <v>1.7619</v>
      </c>
      <c r="I38" s="260">
        <v>1.7617</v>
      </c>
      <c r="J38" s="260">
        <v>1.9123000000000001</v>
      </c>
      <c r="K38" s="261">
        <f>(H38+I38+J38)/3</f>
        <v>1.8119666666666667</v>
      </c>
    </row>
    <row r="39" spans="1:11" x14ac:dyDescent="0.2">
      <c r="A39" s="191" t="s">
        <v>128</v>
      </c>
      <c r="B39" s="201">
        <v>44163</v>
      </c>
      <c r="C39" s="201">
        <v>44697</v>
      </c>
      <c r="D39" s="201">
        <v>53518</v>
      </c>
      <c r="E39" s="286">
        <v>46465</v>
      </c>
    </row>
    <row r="40" spans="1:11" x14ac:dyDescent="0.2">
      <c r="A40" s="191" t="s">
        <v>129</v>
      </c>
      <c r="B40" s="201"/>
      <c r="C40" s="201"/>
      <c r="D40" s="201"/>
      <c r="E40" s="286"/>
      <c r="G40" s="259" t="s">
        <v>150</v>
      </c>
      <c r="H40" t="s">
        <v>152</v>
      </c>
      <c r="I40" t="s">
        <v>153</v>
      </c>
      <c r="J40" t="s">
        <v>154</v>
      </c>
      <c r="K40" t="s">
        <v>146</v>
      </c>
    </row>
    <row r="41" spans="1:11" x14ac:dyDescent="0.2">
      <c r="A41" s="191" t="s">
        <v>130</v>
      </c>
      <c r="B41" s="201">
        <v>38938</v>
      </c>
      <c r="C41" s="201">
        <v>55084</v>
      </c>
      <c r="D41" s="201">
        <v>61573</v>
      </c>
      <c r="E41" s="286">
        <v>50482</v>
      </c>
      <c r="G41" s="259" t="s">
        <v>147</v>
      </c>
      <c r="H41" s="260">
        <v>1.7991999999999999</v>
      </c>
      <c r="I41" s="260">
        <v>1.7821</v>
      </c>
      <c r="J41" s="260">
        <v>1.712</v>
      </c>
      <c r="K41" s="261">
        <f>(H41+I41+J41)/3</f>
        <v>1.7644333333333331</v>
      </c>
    </row>
    <row r="42" spans="1:11" x14ac:dyDescent="0.2">
      <c r="A42" s="191" t="s">
        <v>131</v>
      </c>
      <c r="B42" s="201">
        <v>64745</v>
      </c>
      <c r="C42" s="201">
        <v>55683</v>
      </c>
      <c r="D42" s="201">
        <v>82268</v>
      </c>
      <c r="E42" s="286">
        <v>67775</v>
      </c>
    </row>
    <row r="43" spans="1:11" x14ac:dyDescent="0.2">
      <c r="A43" s="191" t="s">
        <v>132</v>
      </c>
      <c r="B43" s="201">
        <v>51796</v>
      </c>
      <c r="C43" s="201">
        <v>54711</v>
      </c>
      <c r="D43" s="201">
        <v>65364</v>
      </c>
      <c r="E43" s="286">
        <v>70778</v>
      </c>
      <c r="G43" s="259" t="s">
        <v>151</v>
      </c>
      <c r="H43" t="s">
        <v>155</v>
      </c>
      <c r="I43" t="s">
        <v>156</v>
      </c>
      <c r="J43" t="s">
        <v>157</v>
      </c>
      <c r="K43" t="s">
        <v>146</v>
      </c>
    </row>
    <row r="44" spans="1:11" x14ac:dyDescent="0.2">
      <c r="A44" s="191" t="s">
        <v>60</v>
      </c>
      <c r="B44" s="202">
        <f>SUM(B39:B43)</f>
        <v>199642</v>
      </c>
      <c r="C44" s="202">
        <f>SUM(C39:C43)</f>
        <v>210175</v>
      </c>
      <c r="D44" s="202">
        <f>SUM(D39:D43)</f>
        <v>262723</v>
      </c>
      <c r="E44" s="209">
        <f>SUM(E39:E43)</f>
        <v>235500</v>
      </c>
      <c r="G44" s="259" t="s">
        <v>147</v>
      </c>
      <c r="H44" s="260">
        <v>1.7723</v>
      </c>
      <c r="I44" s="260">
        <v>1.7355</v>
      </c>
      <c r="J44" s="260">
        <v>1.6958</v>
      </c>
      <c r="K44" s="261">
        <f>(H44+I44+J44)/3</f>
        <v>1.7345333333333333</v>
      </c>
    </row>
    <row r="45" spans="1:11" x14ac:dyDescent="0.2">
      <c r="A45" s="198"/>
      <c r="B45" s="3"/>
      <c r="C45" s="3"/>
      <c r="D45" s="3"/>
      <c r="E45" s="199"/>
    </row>
    <row r="46" spans="1:11" x14ac:dyDescent="0.2">
      <c r="A46" s="198" t="s">
        <v>133</v>
      </c>
      <c r="B46" s="203">
        <v>1.8120000000000001</v>
      </c>
      <c r="C46" s="210">
        <v>1.7644</v>
      </c>
      <c r="D46" s="210">
        <v>1.7344999999999999</v>
      </c>
      <c r="E46" s="211">
        <v>1.6157999999999999</v>
      </c>
      <c r="G46" s="259" t="s">
        <v>161</v>
      </c>
      <c r="H46" t="s">
        <v>162</v>
      </c>
      <c r="I46" t="s">
        <v>163</v>
      </c>
      <c r="J46" t="s">
        <v>164</v>
      </c>
      <c r="K46" t="s">
        <v>146</v>
      </c>
    </row>
    <row r="47" spans="1:11" ht="13.5" thickBot="1" x14ac:dyDescent="0.25">
      <c r="A47" s="197" t="s">
        <v>134</v>
      </c>
      <c r="B47" s="204">
        <f>B44*B46</f>
        <v>361751.304</v>
      </c>
      <c r="C47" s="204">
        <f>C44*C46</f>
        <v>370832.77</v>
      </c>
      <c r="D47" s="204">
        <f>D44*D46</f>
        <v>455693.04349999997</v>
      </c>
      <c r="E47" s="212">
        <f>E44*E46</f>
        <v>380520.89999999997</v>
      </c>
      <c r="G47" s="259" t="s">
        <v>147</v>
      </c>
      <c r="H47">
        <v>1.708</v>
      </c>
      <c r="I47">
        <v>1.599</v>
      </c>
      <c r="J47">
        <v>1.5403</v>
      </c>
      <c r="K47" s="261">
        <f>(H47+I47+J47)/3</f>
        <v>1.6157666666666666</v>
      </c>
    </row>
    <row r="48" spans="1:11" ht="13.5" thickTop="1" x14ac:dyDescent="0.2">
      <c r="A48" s="198"/>
      <c r="B48" s="3"/>
      <c r="C48" s="3"/>
      <c r="D48" s="3"/>
      <c r="E48" s="199"/>
    </row>
    <row r="49" spans="1:11" x14ac:dyDescent="0.2">
      <c r="A49" s="198" t="s">
        <v>141</v>
      </c>
      <c r="B49" s="213">
        <f>B47</f>
        <v>361751.304</v>
      </c>
      <c r="C49" s="213">
        <f>C47</f>
        <v>370832.77</v>
      </c>
      <c r="D49" s="213">
        <f>D47</f>
        <v>455693.04349999997</v>
      </c>
      <c r="E49" s="214">
        <f>E47</f>
        <v>380520.89999999997</v>
      </c>
    </row>
    <row r="50" spans="1:11" x14ac:dyDescent="0.2">
      <c r="A50" s="198"/>
      <c r="B50" s="140"/>
      <c r="C50" s="140"/>
      <c r="D50" s="140"/>
      <c r="E50" s="207"/>
    </row>
    <row r="51" spans="1:11" ht="13.5" thickBot="1" x14ac:dyDescent="0.25">
      <c r="A51" s="200" t="s">
        <v>135</v>
      </c>
      <c r="B51" s="215">
        <f>B49+C49+D49+E49</f>
        <v>1568798.0174999998</v>
      </c>
      <c r="C51" s="216"/>
      <c r="D51" s="216"/>
      <c r="E51" s="217"/>
    </row>
    <row r="52" spans="1:11" ht="13.5" thickBot="1" x14ac:dyDescent="0.25"/>
    <row r="53" spans="1:11" x14ac:dyDescent="0.2">
      <c r="A53" s="205" t="s">
        <v>193</v>
      </c>
      <c r="B53" s="195"/>
      <c r="C53" s="195"/>
      <c r="D53" s="195"/>
      <c r="E53" s="196"/>
    </row>
    <row r="54" spans="1:11" x14ac:dyDescent="0.2">
      <c r="A54" s="206" t="s">
        <v>123</v>
      </c>
      <c r="B54" s="3"/>
      <c r="C54" s="3"/>
      <c r="D54" s="3"/>
      <c r="E54" s="199"/>
      <c r="G54" s="259" t="s">
        <v>142</v>
      </c>
      <c r="H54" t="s">
        <v>143</v>
      </c>
      <c r="I54" t="s">
        <v>144</v>
      </c>
      <c r="J54" t="s">
        <v>145</v>
      </c>
      <c r="K54" t="s">
        <v>146</v>
      </c>
    </row>
    <row r="55" spans="1:11" x14ac:dyDescent="0.2">
      <c r="A55" s="198"/>
      <c r="B55" s="140" t="s">
        <v>199</v>
      </c>
      <c r="C55" s="140" t="s">
        <v>200</v>
      </c>
      <c r="D55" s="140" t="s">
        <v>201</v>
      </c>
      <c r="E55" s="207" t="s">
        <v>202</v>
      </c>
      <c r="G55" s="259" t="s">
        <v>147</v>
      </c>
      <c r="H55" s="354">
        <v>1.5529999999999999</v>
      </c>
      <c r="I55" s="260">
        <v>1.5179</v>
      </c>
      <c r="J55" s="478">
        <v>1.5907</v>
      </c>
      <c r="K55" s="261">
        <f>(H55+I55+J55)/3</f>
        <v>1.5538666666666667</v>
      </c>
    </row>
    <row r="56" spans="1:11" x14ac:dyDescent="0.2">
      <c r="A56" s="191" t="s">
        <v>128</v>
      </c>
      <c r="B56" s="201">
        <v>43383</v>
      </c>
      <c r="C56" s="201">
        <v>52950</v>
      </c>
      <c r="D56" s="201">
        <v>58734</v>
      </c>
      <c r="E56" s="286">
        <v>57510</v>
      </c>
    </row>
    <row r="57" spans="1:11" x14ac:dyDescent="0.2">
      <c r="A57" s="191" t="s">
        <v>129</v>
      </c>
      <c r="B57" s="201"/>
      <c r="C57" s="201">
        <f>3676+1414</f>
        <v>5090</v>
      </c>
      <c r="D57" s="201">
        <v>3132</v>
      </c>
      <c r="E57" s="286"/>
      <c r="G57" s="259" t="s">
        <v>150</v>
      </c>
      <c r="H57" t="s">
        <v>152</v>
      </c>
      <c r="I57" t="s">
        <v>153</v>
      </c>
      <c r="J57" t="s">
        <v>154</v>
      </c>
      <c r="K57" t="s">
        <v>146</v>
      </c>
    </row>
    <row r="58" spans="1:11" x14ac:dyDescent="0.2">
      <c r="A58" s="191" t="s">
        <v>130</v>
      </c>
      <c r="B58" s="201">
        <v>50039</v>
      </c>
      <c r="C58" s="201">
        <v>47480</v>
      </c>
      <c r="D58" s="201">
        <v>52259</v>
      </c>
      <c r="E58" s="286">
        <v>49927</v>
      </c>
      <c r="G58" s="259" t="s">
        <v>147</v>
      </c>
      <c r="H58" s="478">
        <v>1.6122000000000001</v>
      </c>
      <c r="I58" s="367">
        <v>1.6348</v>
      </c>
      <c r="J58" s="367">
        <v>1.6132</v>
      </c>
      <c r="K58" s="261">
        <f>(H58+I58+J58)/3</f>
        <v>1.6200666666666665</v>
      </c>
    </row>
    <row r="59" spans="1:11" x14ac:dyDescent="0.2">
      <c r="A59" s="191" t="s">
        <v>131</v>
      </c>
      <c r="B59" s="201">
        <v>74214</v>
      </c>
      <c r="C59" s="201">
        <v>73351</v>
      </c>
      <c r="D59" s="201">
        <v>63950</v>
      </c>
      <c r="E59" s="286">
        <v>62135</v>
      </c>
    </row>
    <row r="60" spans="1:11" x14ac:dyDescent="0.2">
      <c r="A60" s="402" t="s">
        <v>218</v>
      </c>
      <c r="B60" s="201">
        <v>82090</v>
      </c>
      <c r="C60" s="201">
        <v>86813</v>
      </c>
      <c r="D60" s="201">
        <v>87052</v>
      </c>
      <c r="E60" s="286">
        <v>95173</v>
      </c>
      <c r="G60" s="259" t="s">
        <v>151</v>
      </c>
      <c r="K60" t="s">
        <v>146</v>
      </c>
    </row>
    <row r="61" spans="1:11" x14ac:dyDescent="0.2">
      <c r="A61" s="191" t="s">
        <v>60</v>
      </c>
      <c r="B61" s="202">
        <f>SUM(B56:B60)</f>
        <v>249726</v>
      </c>
      <c r="C61" s="202">
        <f>SUM(C56:C60)</f>
        <v>265684</v>
      </c>
      <c r="D61" s="202">
        <f>SUM(D56:D60)</f>
        <v>265127</v>
      </c>
      <c r="E61" s="209">
        <f>SUM(E56:E60)</f>
        <v>264745</v>
      </c>
      <c r="G61" s="259" t="s">
        <v>147</v>
      </c>
      <c r="H61" s="260">
        <v>1.6271</v>
      </c>
      <c r="I61" s="260">
        <v>1.5978000000000001</v>
      </c>
      <c r="J61" s="260">
        <v>1.5561</v>
      </c>
      <c r="K61" s="261">
        <f>(H61+I61+J61)/3</f>
        <v>1.5936666666666666</v>
      </c>
    </row>
    <row r="62" spans="1:11" x14ac:dyDescent="0.2">
      <c r="A62" s="198"/>
      <c r="B62" s="3"/>
      <c r="C62" s="3"/>
      <c r="D62" s="3"/>
      <c r="E62" s="199"/>
    </row>
    <row r="63" spans="1:11" x14ac:dyDescent="0.2">
      <c r="A63" s="198" t="s">
        <v>133</v>
      </c>
      <c r="B63" s="203">
        <f>K55</f>
        <v>1.5538666666666667</v>
      </c>
      <c r="C63" s="210">
        <f>K58</f>
        <v>1.6200666666666665</v>
      </c>
      <c r="D63" s="210">
        <f>K61</f>
        <v>1.5936666666666666</v>
      </c>
      <c r="E63" s="211">
        <f>K64</f>
        <v>1.5808</v>
      </c>
      <c r="G63" s="259" t="s">
        <v>161</v>
      </c>
      <c r="K63" t="s">
        <v>146</v>
      </c>
    </row>
    <row r="64" spans="1:11" ht="13.5" thickBot="1" x14ac:dyDescent="0.25">
      <c r="A64" s="197" t="s">
        <v>134</v>
      </c>
      <c r="B64" s="204">
        <f>B61*B63</f>
        <v>388040.90720000002</v>
      </c>
      <c r="C64" s="204">
        <f>C61*C63</f>
        <v>430425.79226666666</v>
      </c>
      <c r="D64" s="204">
        <f>D61*D63</f>
        <v>422524.06233333331</v>
      </c>
      <c r="E64" s="212">
        <f>E61*E63</f>
        <v>418508.89600000001</v>
      </c>
      <c r="G64" s="259" t="s">
        <v>147</v>
      </c>
      <c r="H64" s="260">
        <v>1.6040000000000001</v>
      </c>
      <c r="I64" s="478">
        <v>1.5801000000000001</v>
      </c>
      <c r="J64" s="260">
        <v>1.5583</v>
      </c>
      <c r="K64" s="261">
        <f>(H64+I64+J64)/3</f>
        <v>1.5808</v>
      </c>
    </row>
    <row r="65" spans="1:11" ht="13.5" thickTop="1" x14ac:dyDescent="0.2">
      <c r="A65" s="198"/>
      <c r="B65" s="3"/>
      <c r="C65" s="3"/>
      <c r="D65" s="3"/>
      <c r="E65" s="199"/>
    </row>
    <row r="66" spans="1:11" x14ac:dyDescent="0.2">
      <c r="A66" s="198" t="s">
        <v>141</v>
      </c>
      <c r="B66" s="213">
        <f>B64</f>
        <v>388040.90720000002</v>
      </c>
      <c r="C66" s="213">
        <f>C64</f>
        <v>430425.79226666666</v>
      </c>
      <c r="D66" s="213">
        <f>D64</f>
        <v>422524.06233333331</v>
      </c>
      <c r="E66" s="214">
        <f>E64</f>
        <v>418508.89600000001</v>
      </c>
    </row>
    <row r="67" spans="1:11" x14ac:dyDescent="0.2">
      <c r="A67" s="198"/>
      <c r="B67" s="140"/>
      <c r="C67" s="140"/>
      <c r="D67" s="140"/>
      <c r="E67" s="207"/>
    </row>
    <row r="68" spans="1:11" ht="13.5" thickBot="1" x14ac:dyDescent="0.25">
      <c r="A68" s="200" t="s">
        <v>135</v>
      </c>
      <c r="B68" s="215">
        <f>B66+C66+D66+E66</f>
        <v>1659499.6577999999</v>
      </c>
      <c r="C68" s="216"/>
      <c r="D68" s="216"/>
      <c r="E68" s="217"/>
    </row>
    <row r="69" spans="1:11" ht="13.5" thickBot="1" x14ac:dyDescent="0.25"/>
    <row r="70" spans="1:11" x14ac:dyDescent="0.2">
      <c r="A70" s="205" t="s">
        <v>223</v>
      </c>
      <c r="B70" s="195"/>
      <c r="C70" s="195"/>
      <c r="D70" s="195"/>
      <c r="E70" s="196"/>
    </row>
    <row r="71" spans="1:11" x14ac:dyDescent="0.2">
      <c r="A71" s="206" t="s">
        <v>123</v>
      </c>
      <c r="B71" s="3"/>
      <c r="C71" s="3"/>
      <c r="D71" s="3"/>
      <c r="E71" s="199"/>
      <c r="G71" s="259" t="s">
        <v>142</v>
      </c>
      <c r="H71" t="s">
        <v>143</v>
      </c>
      <c r="I71" t="s">
        <v>144</v>
      </c>
      <c r="J71" t="s">
        <v>145</v>
      </c>
      <c r="K71" t="s">
        <v>146</v>
      </c>
    </row>
    <row r="72" spans="1:11" x14ac:dyDescent="0.2">
      <c r="A72" s="198"/>
      <c r="B72" s="140" t="s">
        <v>225</v>
      </c>
      <c r="C72" s="140" t="s">
        <v>226</v>
      </c>
      <c r="D72" s="140" t="s">
        <v>227</v>
      </c>
      <c r="E72" s="207" t="s">
        <v>228</v>
      </c>
      <c r="F72" s="259" t="s">
        <v>257</v>
      </c>
      <c r="G72" s="259" t="s">
        <v>147</v>
      </c>
      <c r="H72" s="354">
        <v>1.5823</v>
      </c>
      <c r="I72" s="260">
        <v>1.5940000000000001</v>
      </c>
      <c r="J72" s="478">
        <v>1.5474000000000001</v>
      </c>
      <c r="K72" s="261">
        <f>(H72+I72+J72)/3</f>
        <v>1.5745666666666669</v>
      </c>
    </row>
    <row r="73" spans="1:11" x14ac:dyDescent="0.2">
      <c r="A73" s="402" t="s">
        <v>237</v>
      </c>
      <c r="B73" s="201">
        <v>73040</v>
      </c>
      <c r="C73" s="201">
        <v>76527</v>
      </c>
      <c r="D73" s="201">
        <v>70303</v>
      </c>
      <c r="E73" s="286">
        <f>F73-SUM(B73:D73)</f>
        <v>64093</v>
      </c>
      <c r="F73" s="477">
        <v>283963</v>
      </c>
    </row>
    <row r="74" spans="1:11" x14ac:dyDescent="0.2">
      <c r="A74" s="402" t="s">
        <v>236</v>
      </c>
      <c r="B74" s="201">
        <v>2472</v>
      </c>
      <c r="C74" s="201">
        <v>2724</v>
      </c>
      <c r="D74" s="201">
        <v>2776</v>
      </c>
      <c r="E74" s="286">
        <f>F74-SUM(B74:D74)</f>
        <v>2756</v>
      </c>
      <c r="F74" s="477">
        <v>10728</v>
      </c>
      <c r="G74" s="259" t="s">
        <v>150</v>
      </c>
      <c r="H74" t="s">
        <v>152</v>
      </c>
      <c r="I74" t="s">
        <v>153</v>
      </c>
      <c r="J74" t="s">
        <v>154</v>
      </c>
      <c r="K74" t="s">
        <v>146</v>
      </c>
    </row>
    <row r="75" spans="1:11" x14ac:dyDescent="0.2">
      <c r="A75" s="191" t="s">
        <v>130</v>
      </c>
      <c r="B75" s="201">
        <v>63896</v>
      </c>
      <c r="C75" s="201">
        <v>65464</v>
      </c>
      <c r="D75" s="201">
        <v>57467</v>
      </c>
      <c r="E75" s="286">
        <f>F75-SUM(B75:D75)</f>
        <v>58420</v>
      </c>
      <c r="F75" s="477">
        <v>245247</v>
      </c>
      <c r="G75" s="259" t="s">
        <v>147</v>
      </c>
      <c r="H75" s="478">
        <v>1.5686</v>
      </c>
      <c r="I75" s="260">
        <v>1.5925</v>
      </c>
      <c r="J75" s="260">
        <v>1.6286</v>
      </c>
      <c r="K75" s="261">
        <f>(H75+I75+J75)/3</f>
        <v>1.5965666666666667</v>
      </c>
    </row>
    <row r="76" spans="1:11" x14ac:dyDescent="0.2">
      <c r="A76" s="191" t="s">
        <v>131</v>
      </c>
      <c r="B76" s="201">
        <v>92392</v>
      </c>
      <c r="C76" s="201">
        <v>91766</v>
      </c>
      <c r="D76" s="201">
        <v>88020</v>
      </c>
      <c r="E76" s="286">
        <f>F76-SUM(B76:D76)</f>
        <v>83559</v>
      </c>
      <c r="F76" s="477">
        <v>355737</v>
      </c>
    </row>
    <row r="77" spans="1:11" x14ac:dyDescent="0.2">
      <c r="A77" s="402" t="s">
        <v>218</v>
      </c>
      <c r="B77" s="201">
        <v>103249</v>
      </c>
      <c r="C77" s="201">
        <v>103058</v>
      </c>
      <c r="D77" s="201">
        <v>94119</v>
      </c>
      <c r="E77" s="286">
        <f>F77-SUM(B77:D77)</f>
        <v>85407</v>
      </c>
      <c r="F77" s="477">
        <v>385833</v>
      </c>
      <c r="G77" s="259" t="s">
        <v>151</v>
      </c>
      <c r="H77" s="412" t="s">
        <v>155</v>
      </c>
      <c r="I77" s="412" t="s">
        <v>156</v>
      </c>
      <c r="J77" s="2" t="s">
        <v>157</v>
      </c>
      <c r="K77" t="s">
        <v>146</v>
      </c>
    </row>
    <row r="78" spans="1:11" x14ac:dyDescent="0.2">
      <c r="A78" s="191" t="s">
        <v>60</v>
      </c>
      <c r="B78" s="202">
        <f>SUM(B73:B77)</f>
        <v>335049</v>
      </c>
      <c r="C78" s="202">
        <f>SUM(C73:C77)</f>
        <v>339539</v>
      </c>
      <c r="D78" s="202">
        <f>SUM(D73:D77)</f>
        <v>312685</v>
      </c>
      <c r="E78" s="209">
        <f>SUM(E73:E77)</f>
        <v>294235</v>
      </c>
      <c r="G78" s="259" t="s">
        <v>147</v>
      </c>
      <c r="H78" s="260">
        <v>1.6014999999999999</v>
      </c>
      <c r="I78" s="260">
        <v>1.6013999999999999</v>
      </c>
      <c r="J78" s="260">
        <v>1.5822000000000001</v>
      </c>
      <c r="K78" s="261">
        <f>(H78+I78+J78)/3</f>
        <v>1.5950333333333333</v>
      </c>
    </row>
    <row r="79" spans="1:11" x14ac:dyDescent="0.2">
      <c r="A79" s="191"/>
      <c r="B79" s="482"/>
      <c r="C79" s="482"/>
      <c r="D79" s="482"/>
      <c r="E79" s="483"/>
    </row>
    <row r="80" spans="1:11" x14ac:dyDescent="0.2">
      <c r="A80" s="402" t="s">
        <v>260</v>
      </c>
      <c r="B80" s="482">
        <v>0</v>
      </c>
      <c r="C80" s="482">
        <v>0</v>
      </c>
      <c r="D80" s="482">
        <v>0</v>
      </c>
      <c r="E80" s="483">
        <v>448523</v>
      </c>
      <c r="G80" s="259" t="s">
        <v>161</v>
      </c>
      <c r="H80" s="481" t="s">
        <v>166</v>
      </c>
      <c r="I80" s="481" t="s">
        <v>167</v>
      </c>
      <c r="J80" s="481" t="s">
        <v>165</v>
      </c>
      <c r="K80" t="s">
        <v>146</v>
      </c>
    </row>
    <row r="81" spans="1:11" x14ac:dyDescent="0.2">
      <c r="A81" s="198"/>
      <c r="B81" s="3"/>
      <c r="C81" s="3"/>
      <c r="D81" s="3"/>
      <c r="E81" s="199"/>
      <c r="G81" s="259" t="s">
        <v>147</v>
      </c>
      <c r="H81" s="480">
        <v>1.5789</v>
      </c>
      <c r="I81" s="479">
        <v>1.5758000000000001</v>
      </c>
      <c r="J81" s="480">
        <v>1.5960000000000001</v>
      </c>
      <c r="K81" s="261">
        <f>(H81+I81+J81)/3</f>
        <v>1.5835666666666668</v>
      </c>
    </row>
    <row r="82" spans="1:11" x14ac:dyDescent="0.2">
      <c r="A82" s="198" t="s">
        <v>133</v>
      </c>
      <c r="B82" s="203">
        <f>K72</f>
        <v>1.5745666666666669</v>
      </c>
      <c r="C82" s="210">
        <f>K75</f>
        <v>1.5965666666666667</v>
      </c>
      <c r="D82" s="210">
        <f>K78</f>
        <v>1.5950333333333333</v>
      </c>
      <c r="E82" s="211">
        <f>K81</f>
        <v>1.5835666666666668</v>
      </c>
    </row>
    <row r="83" spans="1:11" ht="13.5" thickBot="1" x14ac:dyDescent="0.25">
      <c r="A83" s="197" t="s">
        <v>134</v>
      </c>
      <c r="B83" s="204">
        <f>(B78+B80)*B82</f>
        <v>527556.98710000003</v>
      </c>
      <c r="C83" s="204">
        <f>(C78+C80)*C82</f>
        <v>542096.64943333331</v>
      </c>
      <c r="D83" s="204">
        <f>(D78+D80)*D82</f>
        <v>498742.99783333333</v>
      </c>
      <c r="E83" s="212">
        <f>(E78)*E82+E80*J81</f>
        <v>1181783.4461666667</v>
      </c>
      <c r="F83" s="484"/>
    </row>
    <row r="84" spans="1:11" ht="13.5" thickTop="1" x14ac:dyDescent="0.2">
      <c r="A84" s="198"/>
      <c r="B84" s="3"/>
      <c r="C84" s="3"/>
      <c r="D84" s="3"/>
      <c r="E84" s="199"/>
    </row>
    <row r="85" spans="1:11" x14ac:dyDescent="0.2">
      <c r="A85" s="198" t="s">
        <v>141</v>
      </c>
      <c r="B85" s="213">
        <f>B83</f>
        <v>527556.98710000003</v>
      </c>
      <c r="C85" s="213">
        <f>C83</f>
        <v>542096.64943333331</v>
      </c>
      <c r="D85" s="213">
        <f>D83</f>
        <v>498742.99783333333</v>
      </c>
      <c r="E85" s="214">
        <f>E83</f>
        <v>1181783.4461666667</v>
      </c>
    </row>
    <row r="86" spans="1:11" x14ac:dyDescent="0.2">
      <c r="A86" s="198"/>
      <c r="B86" s="140"/>
      <c r="C86" s="140"/>
      <c r="D86" s="140"/>
      <c r="E86" s="207"/>
    </row>
    <row r="87" spans="1:11" ht="13.5" thickBot="1" x14ac:dyDescent="0.25">
      <c r="A87" s="200" t="s">
        <v>135</v>
      </c>
      <c r="B87" s="215">
        <f>B85+C85+D85+E85</f>
        <v>2750180.0805333336</v>
      </c>
      <c r="C87" s="216"/>
      <c r="D87" s="216"/>
      <c r="E87" s="217"/>
    </row>
    <row r="88" spans="1:11" ht="13.5" thickBot="1" x14ac:dyDescent="0.25"/>
    <row r="89" spans="1:11" s="485" customFormat="1" x14ac:dyDescent="0.2">
      <c r="A89" s="205" t="s">
        <v>286</v>
      </c>
      <c r="B89" s="195"/>
      <c r="C89" s="195"/>
      <c r="D89" s="195"/>
      <c r="E89" s="196"/>
    </row>
    <row r="90" spans="1:11" s="485" customFormat="1" x14ac:dyDescent="0.2">
      <c r="A90" s="206" t="s">
        <v>123</v>
      </c>
      <c r="B90" s="486"/>
      <c r="C90" s="486"/>
      <c r="D90" s="486"/>
      <c r="E90" s="199"/>
      <c r="H90" s="259" t="s">
        <v>142</v>
      </c>
      <c r="I90" s="259" t="s">
        <v>150</v>
      </c>
      <c r="J90" s="259" t="s">
        <v>151</v>
      </c>
      <c r="K90" s="259" t="s">
        <v>161</v>
      </c>
    </row>
    <row r="91" spans="1:11" s="485" customFormat="1" x14ac:dyDescent="0.2">
      <c r="A91" s="198"/>
      <c r="B91" s="140" t="s">
        <v>288</v>
      </c>
      <c r="C91" s="140" t="s">
        <v>289</v>
      </c>
      <c r="D91" s="140" t="s">
        <v>290</v>
      </c>
      <c r="E91" s="207" t="s">
        <v>291</v>
      </c>
      <c r="F91" s="259"/>
      <c r="G91" s="259" t="s">
        <v>147</v>
      </c>
      <c r="H91" s="261">
        <v>1.5998000000000001</v>
      </c>
      <c r="I91" s="261">
        <v>1.5858000000000001</v>
      </c>
      <c r="J91" s="261">
        <v>1.6043000000000001</v>
      </c>
      <c r="K91" s="261">
        <v>1.5618000000000001</v>
      </c>
    </row>
    <row r="92" spans="1:11" s="485" customFormat="1" x14ac:dyDescent="0.2">
      <c r="A92" s="402" t="s">
        <v>292</v>
      </c>
      <c r="B92" s="201">
        <v>836755</v>
      </c>
      <c r="C92" s="201">
        <v>849338</v>
      </c>
      <c r="D92" s="201">
        <v>652370</v>
      </c>
      <c r="E92" s="286">
        <f>744141</f>
        <v>744141</v>
      </c>
      <c r="F92" s="477" t="s">
        <v>325</v>
      </c>
    </row>
    <row r="93" spans="1:11" s="485" customFormat="1" x14ac:dyDescent="0.2">
      <c r="A93" s="198"/>
      <c r="B93" s="486"/>
      <c r="C93" s="486"/>
      <c r="D93" s="486"/>
      <c r="E93" s="199"/>
    </row>
    <row r="94" spans="1:11" s="485" customFormat="1" x14ac:dyDescent="0.2">
      <c r="A94" s="198" t="s">
        <v>133</v>
      </c>
      <c r="B94" s="203">
        <f>H91</f>
        <v>1.5998000000000001</v>
      </c>
      <c r="C94" s="210">
        <f>I91</f>
        <v>1.5858000000000001</v>
      </c>
      <c r="D94" s="210">
        <f>J91</f>
        <v>1.6043000000000001</v>
      </c>
      <c r="E94" s="211">
        <f>K91</f>
        <v>1.5618000000000001</v>
      </c>
    </row>
    <row r="95" spans="1:11" s="485" customFormat="1" ht="13.5" thickBot="1" x14ac:dyDescent="0.25">
      <c r="A95" s="197" t="s">
        <v>134</v>
      </c>
      <c r="B95" s="204">
        <f>(B92)*B94</f>
        <v>1338640.6490000002</v>
      </c>
      <c r="C95" s="204">
        <f>(C92)*C94</f>
        <v>1346880.2004</v>
      </c>
      <c r="D95" s="204">
        <f>(D92)*D94</f>
        <v>1046597.191</v>
      </c>
      <c r="E95" s="212">
        <f>(E92)*E94</f>
        <v>1162199.4138</v>
      </c>
      <c r="F95" s="484"/>
    </row>
    <row r="96" spans="1:11" s="485" customFormat="1" ht="13.5" thickTop="1" x14ac:dyDescent="0.2">
      <c r="A96" s="198"/>
      <c r="B96" s="486"/>
      <c r="C96" s="486"/>
      <c r="D96" s="486"/>
      <c r="E96" s="199"/>
    </row>
    <row r="97" spans="1:11" s="485" customFormat="1" x14ac:dyDescent="0.2">
      <c r="A97" s="198" t="s">
        <v>141</v>
      </c>
      <c r="B97" s="213">
        <f>B95</f>
        <v>1338640.6490000002</v>
      </c>
      <c r="C97" s="213">
        <f>C95</f>
        <v>1346880.2004</v>
      </c>
      <c r="D97" s="213">
        <f>D95</f>
        <v>1046597.191</v>
      </c>
      <c r="E97" s="214">
        <f>E95</f>
        <v>1162199.4138</v>
      </c>
      <c r="G97"/>
      <c r="H97"/>
      <c r="I97"/>
      <c r="J97"/>
      <c r="K97"/>
    </row>
    <row r="98" spans="1:11" s="485" customFormat="1" x14ac:dyDescent="0.2">
      <c r="A98" s="198"/>
      <c r="B98" s="140"/>
      <c r="C98" s="140"/>
      <c r="D98" s="140"/>
      <c r="E98" s="207"/>
      <c r="G98"/>
      <c r="H98"/>
      <c r="I98"/>
      <c r="J98"/>
      <c r="K98"/>
    </row>
    <row r="99" spans="1:11" s="485" customFormat="1" ht="13.5" thickBot="1" x14ac:dyDescent="0.25">
      <c r="A99" s="200" t="s">
        <v>135</v>
      </c>
      <c r="B99" s="215">
        <f>B97+C97+D97+E97</f>
        <v>4894317.4542000005</v>
      </c>
      <c r="C99" s="216"/>
      <c r="D99" s="216"/>
      <c r="E99" s="217"/>
      <c r="G99"/>
      <c r="H99"/>
      <c r="I99"/>
      <c r="J99"/>
      <c r="K99"/>
    </row>
    <row r="101" spans="1:11" x14ac:dyDescent="0.2">
      <c r="A101" t="s">
        <v>314</v>
      </c>
      <c r="B101" s="194">
        <v>93708</v>
      </c>
      <c r="C101" s="194">
        <v>84792</v>
      </c>
      <c r="D101" s="194">
        <v>79766</v>
      </c>
      <c r="E101" s="194">
        <v>27303</v>
      </c>
    </row>
    <row r="102" spans="1:11" ht="13.5" thickBot="1" x14ac:dyDescent="0.25">
      <c r="A102" s="197" t="s">
        <v>134</v>
      </c>
      <c r="B102" s="204">
        <f>(B94)*B101</f>
        <v>149914.05840000001</v>
      </c>
      <c r="C102" s="204">
        <f>(C94)*C101</f>
        <v>134463.15360000002</v>
      </c>
      <c r="D102" s="204">
        <f>(D94)*D101</f>
        <v>127968.5938</v>
      </c>
      <c r="E102" s="204">
        <f>(E94)*E101</f>
        <v>42641.825400000002</v>
      </c>
    </row>
    <row r="103" spans="1:11" ht="14.25" thickTop="1" thickBot="1" x14ac:dyDescent="0.25">
      <c r="B103" s="194"/>
      <c r="C103" s="194"/>
      <c r="D103" s="194"/>
      <c r="E103" s="194"/>
    </row>
    <row r="104" spans="1:11" s="485" customFormat="1" x14ac:dyDescent="0.2">
      <c r="A104" s="205" t="s">
        <v>331</v>
      </c>
      <c r="B104" s="195"/>
      <c r="C104" s="195"/>
      <c r="D104" s="195"/>
      <c r="E104" s="196"/>
    </row>
    <row r="105" spans="1:11" s="485" customFormat="1" x14ac:dyDescent="0.2">
      <c r="A105" s="206" t="s">
        <v>123</v>
      </c>
      <c r="B105" s="486"/>
      <c r="C105" s="486"/>
      <c r="D105" s="486"/>
      <c r="E105" s="199"/>
      <c r="H105" s="259" t="s">
        <v>142</v>
      </c>
      <c r="I105" s="259" t="s">
        <v>150</v>
      </c>
      <c r="J105" s="259" t="s">
        <v>151</v>
      </c>
      <c r="K105" s="259" t="s">
        <v>161</v>
      </c>
    </row>
    <row r="106" spans="1:11" s="485" customFormat="1" x14ac:dyDescent="0.2">
      <c r="A106" s="198"/>
      <c r="B106" s="140" t="s">
        <v>333</v>
      </c>
      <c r="C106" s="140" t="s">
        <v>334</v>
      </c>
      <c r="D106" s="140" t="s">
        <v>335</v>
      </c>
      <c r="E106" s="207" t="s">
        <v>336</v>
      </c>
      <c r="F106" s="259"/>
      <c r="G106" s="259" t="s">
        <v>147</v>
      </c>
      <c r="H106" s="261">
        <v>1.5991</v>
      </c>
      <c r="I106" s="261"/>
      <c r="J106" s="261"/>
      <c r="K106" s="261"/>
    </row>
    <row r="107" spans="1:11" s="485" customFormat="1" x14ac:dyDescent="0.2">
      <c r="A107" s="402" t="s">
        <v>292</v>
      </c>
      <c r="B107" s="201">
        <v>983558</v>
      </c>
      <c r="C107" s="201"/>
      <c r="D107" s="201"/>
      <c r="E107" s="286"/>
      <c r="F107" s="477" t="s">
        <v>325</v>
      </c>
    </row>
    <row r="108" spans="1:11" s="485" customFormat="1" x14ac:dyDescent="0.2">
      <c r="A108" s="198"/>
      <c r="B108" s="486"/>
      <c r="C108" s="486"/>
      <c r="D108" s="486"/>
      <c r="E108" s="199"/>
    </row>
    <row r="109" spans="1:11" s="485" customFormat="1" x14ac:dyDescent="0.2">
      <c r="A109" s="198" t="s">
        <v>133</v>
      </c>
      <c r="B109" s="203">
        <f>H106</f>
        <v>1.5991</v>
      </c>
      <c r="C109" s="210">
        <f>I106</f>
        <v>0</v>
      </c>
      <c r="D109" s="210">
        <f>J106</f>
        <v>0</v>
      </c>
      <c r="E109" s="211">
        <f>K106</f>
        <v>0</v>
      </c>
    </row>
    <row r="110" spans="1:11" s="485" customFormat="1" ht="13.5" thickBot="1" x14ac:dyDescent="0.25">
      <c r="A110" s="197" t="s">
        <v>134</v>
      </c>
      <c r="B110" s="204">
        <f>(B107)*B109</f>
        <v>1572807.5977999999</v>
      </c>
      <c r="C110" s="204">
        <f>(C107)*C109</f>
        <v>0</v>
      </c>
      <c r="D110" s="204">
        <f>(D107)*D109</f>
        <v>0</v>
      </c>
      <c r="E110" s="212">
        <f>(E107)*E109</f>
        <v>0</v>
      </c>
      <c r="F110" s="484"/>
    </row>
    <row r="111" spans="1:11" s="485" customFormat="1" ht="13.5" thickTop="1" x14ac:dyDescent="0.2">
      <c r="A111" s="198"/>
      <c r="B111" s="486"/>
      <c r="C111" s="486"/>
      <c r="D111" s="486"/>
      <c r="E111" s="199"/>
    </row>
    <row r="112" spans="1:11" s="485" customFormat="1" x14ac:dyDescent="0.2">
      <c r="A112" s="198" t="s">
        <v>141</v>
      </c>
      <c r="B112" s="213">
        <f>B110</f>
        <v>1572807.5977999999</v>
      </c>
      <c r="C112" s="213">
        <f>C110</f>
        <v>0</v>
      </c>
      <c r="D112" s="213">
        <f>D110</f>
        <v>0</v>
      </c>
      <c r="E112" s="214">
        <f>E110</f>
        <v>0</v>
      </c>
    </row>
    <row r="113" spans="1:5" s="485" customFormat="1" x14ac:dyDescent="0.2">
      <c r="A113" s="198"/>
      <c r="B113" s="140"/>
      <c r="C113" s="140"/>
      <c r="D113" s="140"/>
      <c r="E113" s="207"/>
    </row>
    <row r="114" spans="1:5" s="485" customFormat="1" ht="13.5" thickBot="1" x14ac:dyDescent="0.25">
      <c r="A114" s="200" t="s">
        <v>135</v>
      </c>
      <c r="B114" s="215">
        <f>B112+C112+D112+E112</f>
        <v>1572807.5977999999</v>
      </c>
      <c r="C114" s="216"/>
      <c r="D114" s="216"/>
      <c r="E114" s="217"/>
    </row>
    <row r="115" spans="1:5" s="485" customFormat="1" x14ac:dyDescent="0.2"/>
    <row r="116" spans="1:5" s="485" customFormat="1" x14ac:dyDescent="0.2">
      <c r="A116" s="485" t="s">
        <v>314</v>
      </c>
      <c r="B116" s="194"/>
      <c r="C116" s="194"/>
      <c r="D116" s="194"/>
      <c r="E116" s="194"/>
    </row>
    <row r="117" spans="1:5" s="485" customFormat="1" ht="13.5" thickBot="1" x14ac:dyDescent="0.25">
      <c r="A117" s="197" t="s">
        <v>134</v>
      </c>
      <c r="B117" s="204">
        <f>(B109)*B116</f>
        <v>0</v>
      </c>
      <c r="C117" s="204">
        <f>(C109)*C116</f>
        <v>0</v>
      </c>
      <c r="D117" s="204">
        <f>(D109)*D116</f>
        <v>0</v>
      </c>
      <c r="E117" s="204">
        <f>(E109)*E116</f>
        <v>0</v>
      </c>
    </row>
    <row r="118" spans="1:5" ht="13.5" thickTop="1" x14ac:dyDescent="0.2"/>
  </sheetData>
  <phoneticPr fontId="16" type="noConversion"/>
  <pageMargins left="0.75" right="0.75" top="1" bottom="0.5" header="0.5" footer="0.5"/>
  <pageSetup orientation="landscape" r:id="rId1"/>
  <headerFooter alignWithMargins="0">
    <oddFooter>&amp;L&amp;Z&amp;F&amp;R&amp;D&amp;T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AC4DD34-DE6B-4808-AF47-99A7D8D9FCDB}"/>
</file>

<file path=customXml/itemProps2.xml><?xml version="1.0" encoding="utf-8"?>
<ds:datastoreItem xmlns:ds="http://schemas.openxmlformats.org/officeDocument/2006/customXml" ds:itemID="{B06CBCB5-3F5A-4DE5-A333-F6E9EBB14350}"/>
</file>

<file path=customXml/itemProps3.xml><?xml version="1.0" encoding="utf-8"?>
<ds:datastoreItem xmlns:ds="http://schemas.openxmlformats.org/officeDocument/2006/customXml" ds:itemID="{3847654A-848F-453F-941C-585CE6B86B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1 Cover</vt:lpstr>
      <vt:lpstr>2 Table of Contents</vt:lpstr>
      <vt:lpstr>1 Financial Highlights</vt:lpstr>
      <vt:lpstr>2 Consolidated IS</vt:lpstr>
      <vt:lpstr>3 Canaccord Genuity </vt:lpstr>
      <vt:lpstr>4 Capital Markets North America</vt:lpstr>
      <vt:lpstr>4 Capital Markets Canada</vt:lpstr>
      <vt:lpstr>5 CG - US</vt:lpstr>
      <vt:lpstr>6 CG - UK</vt:lpstr>
      <vt:lpstr>7 CG Other Foreign Loc</vt:lpstr>
      <vt:lpstr>8 CWM Canada</vt:lpstr>
      <vt:lpstr>9 CWM UK and Europe</vt:lpstr>
      <vt:lpstr>CWM BGF</vt:lpstr>
      <vt:lpstr>10 Other</vt:lpstr>
      <vt:lpstr>11 Balance Sheet</vt:lpstr>
      <vt:lpstr>7 Canada</vt:lpstr>
      <vt:lpstr>8 UK and Europe</vt:lpstr>
      <vt:lpstr>9 US</vt:lpstr>
      <vt:lpstr>12 Misc Operating Stats</vt:lpstr>
      <vt:lpstr>13 Notes</vt:lpstr>
      <vt:lpstr>NHI</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'2 Table of Contents'!Print_Area</vt:lpstr>
      <vt:lpstr>'3 Canaccord Genuity '!Print_Area</vt:lpstr>
      <vt:lpstr>'4 Capital Markets Canada'!Print_Area</vt:lpstr>
      <vt:lpstr>'4 Capital Markets North America'!Print_Area</vt:lpstr>
      <vt:lpstr>'5 CG - US'!Print_Area</vt:lpstr>
      <vt:lpstr>'6 CG - UK'!Print_Area</vt:lpstr>
      <vt:lpstr>'7 Canada'!Print_Area</vt:lpstr>
      <vt:lpstr>'7 CG Other Foreign Loc'!Print_Area</vt:lpstr>
      <vt:lpstr>'8 CWM Canada'!Print_Area</vt:lpstr>
      <vt:lpstr>'8 UK and Europe'!Print_Area</vt:lpstr>
      <vt:lpstr>'9 CWM UK and Europe'!Print_Area</vt:lpstr>
      <vt:lpstr>'9 US'!Print_Area</vt:lpstr>
      <vt:lpstr>'CWM BGF'!Print_Area</vt:lpstr>
      <vt:lpstr>NHI!Print_Area</vt:lpstr>
    </vt:vector>
  </TitlesOfParts>
  <Company>Canaccord Capital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17 Supp Final Internet_excel</dc:title>
  <dc:creator>Tiffany Grisdale</dc:creator>
  <cp:lastModifiedBy>Yip, Flora</cp:lastModifiedBy>
  <cp:lastPrinted>2016-08-02T23:43:22Z</cp:lastPrinted>
  <dcterms:created xsi:type="dcterms:W3CDTF">2008-06-18T15:17:32Z</dcterms:created>
  <dcterms:modified xsi:type="dcterms:W3CDTF">2016-08-03T20:21:02Z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